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40" windowWidth="20550" windowHeight="4185" activeTab="2"/>
  </bookViews>
  <sheets>
    <sheet name="2F直圧モデル" sheetId="25" r:id="rId1"/>
    <sheet name="3F直圧モデル" sheetId="38" r:id="rId2"/>
    <sheet name="2Fアパート直圧モデル" sheetId="39" r:id="rId3"/>
  </sheets>
  <definedNames>
    <definedName name="_xlnm.Print_Area" localSheetId="2">'2Fアパート直圧モデル'!$A$1:$IV$70</definedName>
    <definedName name="_xlnm.Print_Area" localSheetId="0">'2F直圧モデル'!$C$1:$AB$82</definedName>
    <definedName name="_xlnm.Print_Area" localSheetId="1">'3F直圧モデル'!$C$1:$AB$84</definedName>
  </definedNames>
  <calcPr calcId="125725"/>
</workbook>
</file>

<file path=xl/calcChain.xml><?xml version="1.0" encoding="utf-8"?>
<calcChain xmlns="http://schemas.openxmlformats.org/spreadsheetml/2006/main">
  <c r="Z13" i="39"/>
  <c r="AB13"/>
  <c r="AD13"/>
  <c r="Y17"/>
  <c r="AA17"/>
  <c r="AC17"/>
  <c r="Y18"/>
  <c r="H21"/>
  <c r="D32" s="1"/>
  <c r="P22"/>
  <c r="Q22"/>
  <c r="R22"/>
  <c r="S22"/>
  <c r="T22"/>
  <c r="U22"/>
  <c r="W24"/>
  <c r="P25"/>
  <c r="D42" s="1"/>
  <c r="F42" s="1"/>
  <c r="H42" s="1"/>
  <c r="J42" s="1"/>
  <c r="Q25"/>
  <c r="R25"/>
  <c r="S25"/>
  <c r="D39" s="1"/>
  <c r="F39" s="1"/>
  <c r="H39" s="1"/>
  <c r="J39" s="1"/>
  <c r="T25"/>
  <c r="D38" s="1"/>
  <c r="F38" s="1"/>
  <c r="H38" s="1"/>
  <c r="J38" s="1"/>
  <c r="U25"/>
  <c r="D28"/>
  <c r="E28"/>
  <c r="F28" s="1"/>
  <c r="H28" s="1"/>
  <c r="J28" s="1"/>
  <c r="D29"/>
  <c r="D30" s="1"/>
  <c r="F30" s="1"/>
  <c r="H30" s="1"/>
  <c r="J30" s="1"/>
  <c r="E29"/>
  <c r="G29"/>
  <c r="I29"/>
  <c r="E30"/>
  <c r="G30"/>
  <c r="D31"/>
  <c r="F31" s="1"/>
  <c r="H31" s="1"/>
  <c r="J31" s="1"/>
  <c r="E31"/>
  <c r="G31"/>
  <c r="E32"/>
  <c r="G32"/>
  <c r="E33"/>
  <c r="G33"/>
  <c r="I33"/>
  <c r="E34"/>
  <c r="E35" s="1"/>
  <c r="G34"/>
  <c r="G35"/>
  <c r="S35"/>
  <c r="G52" s="1"/>
  <c r="T35"/>
  <c r="U35"/>
  <c r="V35"/>
  <c r="W35"/>
  <c r="X35"/>
  <c r="Y35"/>
  <c r="Z35"/>
  <c r="AA35"/>
  <c r="AB35"/>
  <c r="G36"/>
  <c r="E37"/>
  <c r="G37"/>
  <c r="E38"/>
  <c r="G38"/>
  <c r="S38"/>
  <c r="T38"/>
  <c r="U38"/>
  <c r="V38"/>
  <c r="W38"/>
  <c r="D48" s="1"/>
  <c r="F48" s="1"/>
  <c r="H48" s="1"/>
  <c r="J48" s="1"/>
  <c r="X38"/>
  <c r="Y38"/>
  <c r="Z38"/>
  <c r="AA38"/>
  <c r="D44" s="1"/>
  <c r="F44" s="1"/>
  <c r="H44" s="1"/>
  <c r="J44" s="1"/>
  <c r="AB38"/>
  <c r="E39"/>
  <c r="G39"/>
  <c r="D40"/>
  <c r="E40"/>
  <c r="F40"/>
  <c r="H40" s="1"/>
  <c r="J40" s="1"/>
  <c r="G40"/>
  <c r="D41"/>
  <c r="F41" s="1"/>
  <c r="H41" s="1"/>
  <c r="J41" s="1"/>
  <c r="E41"/>
  <c r="G41"/>
  <c r="E42"/>
  <c r="G42"/>
  <c r="D43"/>
  <c r="F43" s="1"/>
  <c r="H43" s="1"/>
  <c r="J43" s="1"/>
  <c r="E43"/>
  <c r="G43"/>
  <c r="E44"/>
  <c r="G44"/>
  <c r="D45"/>
  <c r="F45" s="1"/>
  <c r="H45" s="1"/>
  <c r="J45" s="1"/>
  <c r="E45"/>
  <c r="G45"/>
  <c r="D46"/>
  <c r="E46"/>
  <c r="F46"/>
  <c r="H46" s="1"/>
  <c r="J46" s="1"/>
  <c r="G46"/>
  <c r="D47"/>
  <c r="F47" s="1"/>
  <c r="H47" s="1"/>
  <c r="J47" s="1"/>
  <c r="E47"/>
  <c r="G47"/>
  <c r="E48"/>
  <c r="G48"/>
  <c r="D49"/>
  <c r="F49" s="1"/>
  <c r="H49" s="1"/>
  <c r="J49" s="1"/>
  <c r="E49"/>
  <c r="G49"/>
  <c r="Z49"/>
  <c r="AA49"/>
  <c r="AB49"/>
  <c r="AD49"/>
  <c r="AE49"/>
  <c r="AF49"/>
  <c r="D50"/>
  <c r="F50" s="1"/>
  <c r="H50" s="1"/>
  <c r="J50" s="1"/>
  <c r="E50"/>
  <c r="G50"/>
  <c r="Z50"/>
  <c r="AA50"/>
  <c r="AB50"/>
  <c r="AD50"/>
  <c r="AE50"/>
  <c r="AF50"/>
  <c r="D51"/>
  <c r="F51" s="1"/>
  <c r="H51" s="1"/>
  <c r="J51" s="1"/>
  <c r="E51"/>
  <c r="G51"/>
  <c r="Z51"/>
  <c r="AA51"/>
  <c r="AB51"/>
  <c r="AD51"/>
  <c r="AE51"/>
  <c r="AF51"/>
  <c r="E52"/>
  <c r="F52" s="1"/>
  <c r="H52" s="1"/>
  <c r="J52" s="1"/>
  <c r="I52"/>
  <c r="Z52"/>
  <c r="AA52"/>
  <c r="AB52"/>
  <c r="AD52"/>
  <c r="AE52"/>
  <c r="AF52"/>
  <c r="D53"/>
  <c r="N39" s="1"/>
  <c r="E53"/>
  <c r="G53"/>
  <c r="Z53"/>
  <c r="AA53"/>
  <c r="AB53"/>
  <c r="AD53"/>
  <c r="AE53"/>
  <c r="AF53"/>
  <c r="D54"/>
  <c r="F54" s="1"/>
  <c r="H54" s="1"/>
  <c r="J54" s="1"/>
  <c r="E54"/>
  <c r="G54"/>
  <c r="Z54"/>
  <c r="AA54"/>
  <c r="AB54"/>
  <c r="AD54"/>
  <c r="AE54"/>
  <c r="AF54"/>
  <c r="D55"/>
  <c r="F55" s="1"/>
  <c r="H55" s="1"/>
  <c r="J55" s="1"/>
  <c r="E55"/>
  <c r="G55"/>
  <c r="Z55"/>
  <c r="AA55"/>
  <c r="AB55"/>
  <c r="AD55"/>
  <c r="AE55"/>
  <c r="AF55"/>
  <c r="D56"/>
  <c r="F56" s="1"/>
  <c r="H56" s="1"/>
  <c r="J56" s="1"/>
  <c r="E56"/>
  <c r="E57" s="1"/>
  <c r="G56"/>
  <c r="I56"/>
  <c r="Z56"/>
  <c r="AA56"/>
  <c r="AB56"/>
  <c r="AD56"/>
  <c r="AE56"/>
  <c r="AF56"/>
  <c r="G57"/>
  <c r="Z57"/>
  <c r="AA57"/>
  <c r="AB57"/>
  <c r="AD57"/>
  <c r="AE57"/>
  <c r="AF57"/>
  <c r="Z58"/>
  <c r="AA58"/>
  <c r="AB58"/>
  <c r="AD58"/>
  <c r="AE58"/>
  <c r="AF58"/>
  <c r="Z59"/>
  <c r="AA59"/>
  <c r="AB59"/>
  <c r="AD59"/>
  <c r="AE59"/>
  <c r="AF59"/>
  <c r="K60"/>
  <c r="Z60"/>
  <c r="AA60"/>
  <c r="AB60"/>
  <c r="AD60"/>
  <c r="AE60"/>
  <c r="AF60"/>
  <c r="Z61"/>
  <c r="AA61"/>
  <c r="AB61"/>
  <c r="AD61"/>
  <c r="AE61"/>
  <c r="AF61"/>
  <c r="Z62"/>
  <c r="AA62"/>
  <c r="AB62"/>
  <c r="AD62"/>
  <c r="AE62"/>
  <c r="AF62"/>
  <c r="Z63"/>
  <c r="AA63"/>
  <c r="AB63"/>
  <c r="AD63"/>
  <c r="AE63"/>
  <c r="AF63"/>
  <c r="T64"/>
  <c r="Z64"/>
  <c r="AA64"/>
  <c r="AB64"/>
  <c r="AD64"/>
  <c r="AE64"/>
  <c r="AF64"/>
  <c r="Z65"/>
  <c r="AA65"/>
  <c r="AB65"/>
  <c r="AD65"/>
  <c r="AE65"/>
  <c r="AF65"/>
  <c r="Z66"/>
  <c r="AA66"/>
  <c r="AB66"/>
  <c r="AD66"/>
  <c r="AE66"/>
  <c r="AF66"/>
  <c r="Z67"/>
  <c r="AA67"/>
  <c r="AB67"/>
  <c r="AD67"/>
  <c r="AE67"/>
  <c r="AF67"/>
  <c r="Z68"/>
  <c r="AA68"/>
  <c r="AB68"/>
  <c r="AD68"/>
  <c r="AE68"/>
  <c r="AF68"/>
  <c r="G74" i="38"/>
  <c r="L60" i="25"/>
  <c r="M14" i="38"/>
  <c r="F15"/>
  <c r="F16"/>
  <c r="T12"/>
  <c r="G81"/>
  <c r="G80"/>
  <c r="G79"/>
  <c r="K77"/>
  <c r="K76"/>
  <c r="I77"/>
  <c r="I76"/>
  <c r="G77"/>
  <c r="G76"/>
  <c r="K75"/>
  <c r="I75"/>
  <c r="F74"/>
  <c r="G75"/>
  <c r="N13"/>
  <c r="P13"/>
  <c r="K73"/>
  <c r="K72"/>
  <c r="I73"/>
  <c r="I72"/>
  <c r="G73"/>
  <c r="G71"/>
  <c r="J32"/>
  <c r="S32" s="1"/>
  <c r="S33" s="1"/>
  <c r="F71"/>
  <c r="K70"/>
  <c r="K69"/>
  <c r="I70"/>
  <c r="I69"/>
  <c r="G70"/>
  <c r="G69"/>
  <c r="G68"/>
  <c r="F68"/>
  <c r="K67"/>
  <c r="K66"/>
  <c r="I67"/>
  <c r="I66"/>
  <c r="G67"/>
  <c r="G66"/>
  <c r="G65"/>
  <c r="H65" s="1"/>
  <c r="F65"/>
  <c r="K64"/>
  <c r="K60"/>
  <c r="K61"/>
  <c r="K63"/>
  <c r="I64"/>
  <c r="I63"/>
  <c r="G64"/>
  <c r="G63"/>
  <c r="G62"/>
  <c r="F63"/>
  <c r="F62"/>
  <c r="Q16"/>
  <c r="P16"/>
  <c r="I61"/>
  <c r="I60"/>
  <c r="G61"/>
  <c r="G60"/>
  <c r="G59"/>
  <c r="F60"/>
  <c r="F59"/>
  <c r="I58"/>
  <c r="K58"/>
  <c r="G58"/>
  <c r="G57"/>
  <c r="F57"/>
  <c r="F58" s="1"/>
  <c r="G72"/>
  <c r="L78"/>
  <c r="K59"/>
  <c r="U43"/>
  <c r="U44" s="1"/>
  <c r="P52"/>
  <c r="P53" s="1"/>
  <c r="P54" s="1"/>
  <c r="P49"/>
  <c r="P50" s="1"/>
  <c r="P51" s="1"/>
  <c r="P37"/>
  <c r="P38" s="1"/>
  <c r="P39" s="1"/>
  <c r="S62"/>
  <c r="T62"/>
  <c r="S63"/>
  <c r="T63"/>
  <c r="S64"/>
  <c r="T64"/>
  <c r="S31"/>
  <c r="T31" s="1"/>
  <c r="U55" s="1"/>
  <c r="U56" s="1"/>
  <c r="S30"/>
  <c r="S29"/>
  <c r="T29" s="1"/>
  <c r="U49" s="1"/>
  <c r="V49" s="1"/>
  <c r="W49" s="1"/>
  <c r="X49" s="1"/>
  <c r="U29" s="1"/>
  <c r="J68" s="1"/>
  <c r="L68" s="1"/>
  <c r="S27"/>
  <c r="S26"/>
  <c r="T26" s="1"/>
  <c r="U40" s="1"/>
  <c r="S25"/>
  <c r="P31"/>
  <c r="P55" s="1"/>
  <c r="P56" s="1"/>
  <c r="P57" s="1"/>
  <c r="P30"/>
  <c r="P29"/>
  <c r="P25"/>
  <c r="T30"/>
  <c r="U52" s="1"/>
  <c r="V52" s="1"/>
  <c r="W52" s="1"/>
  <c r="X52" s="1"/>
  <c r="U30" s="1"/>
  <c r="N16"/>
  <c r="W7"/>
  <c r="X6"/>
  <c r="X5"/>
  <c r="V5"/>
  <c r="U11"/>
  <c r="V9"/>
  <c r="V8"/>
  <c r="T9"/>
  <c r="S9"/>
  <c r="S13"/>
  <c r="S12"/>
  <c r="Q13"/>
  <c r="N18"/>
  <c r="N17"/>
  <c r="T11"/>
  <c r="R15"/>
  <c r="Q15"/>
  <c r="P15"/>
  <c r="N15"/>
  <c r="M16"/>
  <c r="W4"/>
  <c r="V4"/>
  <c r="T8"/>
  <c r="S8"/>
  <c r="Q12"/>
  <c r="P12"/>
  <c r="N12"/>
  <c r="L17"/>
  <c r="S28"/>
  <c r="T28" s="1"/>
  <c r="U46" s="1"/>
  <c r="P28"/>
  <c r="P46" s="1"/>
  <c r="P47" s="1"/>
  <c r="P48" s="1"/>
  <c r="T27"/>
  <c r="P27"/>
  <c r="P43" s="1"/>
  <c r="P44" s="1"/>
  <c r="P45" s="1"/>
  <c r="P26"/>
  <c r="P40" s="1"/>
  <c r="P41" s="1"/>
  <c r="P42" s="1"/>
  <c r="T25"/>
  <c r="U37" s="1"/>
  <c r="F32" i="39" l="1"/>
  <c r="H32" s="1"/>
  <c r="J32" s="1"/>
  <c r="D33"/>
  <c r="D57"/>
  <c r="F57" s="1"/>
  <c r="H57" s="1"/>
  <c r="J57" s="1"/>
  <c r="F53"/>
  <c r="H53" s="1"/>
  <c r="J53" s="1"/>
  <c r="K57" s="1"/>
  <c r="F29"/>
  <c r="H29" s="1"/>
  <c r="J29" s="1"/>
  <c r="E36"/>
  <c r="F61" i="38"/>
  <c r="F64" s="1"/>
  <c r="U47"/>
  <c r="V46"/>
  <c r="W46" s="1"/>
  <c r="X46" s="1"/>
  <c r="W28" s="1"/>
  <c r="V37"/>
  <c r="W37" s="1"/>
  <c r="X37" s="1"/>
  <c r="U25" s="1"/>
  <c r="J57" s="1"/>
  <c r="L57" s="1"/>
  <c r="U38"/>
  <c r="V38" s="1"/>
  <c r="W38" s="1"/>
  <c r="H61"/>
  <c r="J61" s="1"/>
  <c r="L61" s="1"/>
  <c r="V40"/>
  <c r="W40" s="1"/>
  <c r="X40" s="1"/>
  <c r="U26" s="1"/>
  <c r="J59" s="1"/>
  <c r="U41"/>
  <c r="H60"/>
  <c r="J60" s="1"/>
  <c r="L60" s="1"/>
  <c r="H71"/>
  <c r="S34"/>
  <c r="T34" s="1"/>
  <c r="T33"/>
  <c r="T32"/>
  <c r="U58" s="1"/>
  <c r="U59" s="1"/>
  <c r="U60" s="1"/>
  <c r="H58"/>
  <c r="J58" s="1"/>
  <c r="L58" s="1"/>
  <c r="H59"/>
  <c r="H63"/>
  <c r="J63" s="1"/>
  <c r="L63" s="1"/>
  <c r="F75"/>
  <c r="H75" s="1"/>
  <c r="J75" s="1"/>
  <c r="L75" s="1"/>
  <c r="H74"/>
  <c r="F72"/>
  <c r="H72" s="1"/>
  <c r="J72" s="1"/>
  <c r="L72" s="1"/>
  <c r="H68"/>
  <c r="F66"/>
  <c r="H66" s="1"/>
  <c r="J66" s="1"/>
  <c r="L66" s="1"/>
  <c r="H62"/>
  <c r="F69"/>
  <c r="H69" s="1"/>
  <c r="J69" s="1"/>
  <c r="L69" s="1"/>
  <c r="U39"/>
  <c r="V39" s="1"/>
  <c r="W39" s="1"/>
  <c r="V56"/>
  <c r="W56" s="1"/>
  <c r="X56" s="1"/>
  <c r="V31" s="1"/>
  <c r="U57"/>
  <c r="V44"/>
  <c r="W44" s="1"/>
  <c r="X44" s="1"/>
  <c r="U45"/>
  <c r="V55"/>
  <c r="W55" s="1"/>
  <c r="X55" s="1"/>
  <c r="U31" s="1"/>
  <c r="J74" s="1"/>
  <c r="L74" s="1"/>
  <c r="U48"/>
  <c r="V47"/>
  <c r="W47" s="1"/>
  <c r="X47" s="1"/>
  <c r="V29" s="1"/>
  <c r="V43"/>
  <c r="W43" s="1"/>
  <c r="X43" s="1"/>
  <c r="U27" s="1"/>
  <c r="J62" s="1"/>
  <c r="L62" s="1"/>
  <c r="U50"/>
  <c r="U53"/>
  <c r="X38"/>
  <c r="V25" s="1"/>
  <c r="H57"/>
  <c r="T9" i="25"/>
  <c r="R13"/>
  <c r="Q13"/>
  <c r="Q14"/>
  <c r="P13"/>
  <c r="P14"/>
  <c r="M14"/>
  <c r="N13"/>
  <c r="N14"/>
  <c r="M12"/>
  <c r="T6"/>
  <c r="S6"/>
  <c r="Q10"/>
  <c r="P10"/>
  <c r="N10"/>
  <c r="N11"/>
  <c r="P11"/>
  <c r="Q11"/>
  <c r="S7"/>
  <c r="U8"/>
  <c r="U7"/>
  <c r="S11"/>
  <c r="S10"/>
  <c r="L15"/>
  <c r="N16"/>
  <c r="N15"/>
  <c r="L10"/>
  <c r="G67"/>
  <c r="G66"/>
  <c r="G65"/>
  <c r="F65"/>
  <c r="L64"/>
  <c r="K62"/>
  <c r="K63"/>
  <c r="G63"/>
  <c r="G62"/>
  <c r="K61"/>
  <c r="I61"/>
  <c r="G61"/>
  <c r="G60"/>
  <c r="F60"/>
  <c r="F61" s="1"/>
  <c r="K58"/>
  <c r="I59"/>
  <c r="I58"/>
  <c r="G59"/>
  <c r="G58"/>
  <c r="G57"/>
  <c r="F57"/>
  <c r="K55"/>
  <c r="I56"/>
  <c r="I55"/>
  <c r="G54"/>
  <c r="F54"/>
  <c r="F55" s="1"/>
  <c r="H55" s="1"/>
  <c r="J55" s="1"/>
  <c r="I53"/>
  <c r="G53"/>
  <c r="I52"/>
  <c r="G52"/>
  <c r="K52"/>
  <c r="G51"/>
  <c r="F51"/>
  <c r="F52" s="1"/>
  <c r="K50"/>
  <c r="G50"/>
  <c r="G49"/>
  <c r="F49"/>
  <c r="F50" s="1"/>
  <c r="U45"/>
  <c r="I50"/>
  <c r="S27"/>
  <c r="T27" s="1"/>
  <c r="S26"/>
  <c r="T26" s="1"/>
  <c r="U42" s="1"/>
  <c r="S25"/>
  <c r="S24"/>
  <c r="T24" s="1"/>
  <c r="U36" s="1"/>
  <c r="S23"/>
  <c r="T23" s="1"/>
  <c r="U33" s="1"/>
  <c r="P27"/>
  <c r="P45" s="1"/>
  <c r="P46" s="1"/>
  <c r="P47" s="1"/>
  <c r="P26"/>
  <c r="P42" s="1"/>
  <c r="P43" s="1"/>
  <c r="P44" s="1"/>
  <c r="P25"/>
  <c r="P39" s="1"/>
  <c r="P40" s="1"/>
  <c r="P41" s="1"/>
  <c r="P24"/>
  <c r="P23"/>
  <c r="P33" s="1"/>
  <c r="P34" s="1"/>
  <c r="P35" s="1"/>
  <c r="T54"/>
  <c r="S54"/>
  <c r="T53"/>
  <c r="S53"/>
  <c r="T52"/>
  <c r="S52"/>
  <c r="U29"/>
  <c r="T25"/>
  <c r="U39" s="1"/>
  <c r="P36"/>
  <c r="P37" s="1"/>
  <c r="P38" s="1"/>
  <c r="J28"/>
  <c r="S28" s="1"/>
  <c r="T28" s="1"/>
  <c r="U48" s="1"/>
  <c r="F33" i="39" l="1"/>
  <c r="H33" s="1"/>
  <c r="J33" s="1"/>
  <c r="D34"/>
  <c r="M75" i="38"/>
  <c r="F17" s="1"/>
  <c r="F67"/>
  <c r="H64"/>
  <c r="J64" s="1"/>
  <c r="L64" s="1"/>
  <c r="M64" s="1"/>
  <c r="L59"/>
  <c r="M61" s="1"/>
  <c r="V59"/>
  <c r="W59" s="1"/>
  <c r="X59" s="1"/>
  <c r="V32" s="1"/>
  <c r="V27"/>
  <c r="U28"/>
  <c r="J65" s="1"/>
  <c r="L65" s="1"/>
  <c r="V41"/>
  <c r="W41" s="1"/>
  <c r="X41" s="1"/>
  <c r="V26" s="1"/>
  <c r="U42"/>
  <c r="V58"/>
  <c r="W58" s="1"/>
  <c r="X58" s="1"/>
  <c r="U32" s="1"/>
  <c r="M58"/>
  <c r="X39"/>
  <c r="W25" s="1"/>
  <c r="V60"/>
  <c r="W60" s="1"/>
  <c r="X60" s="1"/>
  <c r="W32" s="1"/>
  <c r="J79" s="1"/>
  <c r="L79" s="1"/>
  <c r="U61"/>
  <c r="V50"/>
  <c r="W50" s="1"/>
  <c r="X50" s="1"/>
  <c r="U51"/>
  <c r="X57"/>
  <c r="W31" s="1"/>
  <c r="V57"/>
  <c r="W57" s="1"/>
  <c r="V53"/>
  <c r="W53" s="1"/>
  <c r="X53" s="1"/>
  <c r="V30" s="1"/>
  <c r="J71" s="1"/>
  <c r="L71" s="1"/>
  <c r="U54"/>
  <c r="V48"/>
  <c r="W48" s="1"/>
  <c r="X48" s="1"/>
  <c r="V45"/>
  <c r="W45" s="1"/>
  <c r="X45" s="1"/>
  <c r="H57" i="25"/>
  <c r="H61"/>
  <c r="J61" s="1"/>
  <c r="L61" s="1"/>
  <c r="H60"/>
  <c r="H54"/>
  <c r="H52"/>
  <c r="J52" s="1"/>
  <c r="L52" s="1"/>
  <c r="F53"/>
  <c r="F56" s="1"/>
  <c r="F59" s="1"/>
  <c r="F58"/>
  <c r="H58" s="1"/>
  <c r="J58" s="1"/>
  <c r="L58" s="1"/>
  <c r="H65"/>
  <c r="F66"/>
  <c r="L55"/>
  <c r="H51"/>
  <c r="H49"/>
  <c r="H50"/>
  <c r="J50" s="1"/>
  <c r="L50" s="1"/>
  <c r="X42"/>
  <c r="U26" s="1"/>
  <c r="V42"/>
  <c r="W42" s="1"/>
  <c r="U43"/>
  <c r="U49"/>
  <c r="V48"/>
  <c r="W48" s="1"/>
  <c r="X48" s="1"/>
  <c r="U28" s="1"/>
  <c r="U37"/>
  <c r="V36"/>
  <c r="W36" s="1"/>
  <c r="X36" s="1"/>
  <c r="U24" s="1"/>
  <c r="J51" s="1"/>
  <c r="L51" s="1"/>
  <c r="U46"/>
  <c r="V45"/>
  <c r="W45" s="1"/>
  <c r="X45" s="1"/>
  <c r="U27" s="1"/>
  <c r="J60" s="1"/>
  <c r="M61" s="1"/>
  <c r="U40"/>
  <c r="V39"/>
  <c r="U34"/>
  <c r="V33"/>
  <c r="W33" s="1"/>
  <c r="X33" s="1"/>
  <c r="S29"/>
  <c r="F34" i="39" l="1"/>
  <c r="H34" s="1"/>
  <c r="J34" s="1"/>
  <c r="D35"/>
  <c r="J49" i="25"/>
  <c r="L49" s="1"/>
  <c r="U23"/>
  <c r="W39"/>
  <c r="X39" s="1"/>
  <c r="U25" s="1"/>
  <c r="J54" s="1"/>
  <c r="L54" s="1"/>
  <c r="F70" i="38"/>
  <c r="F73" s="1"/>
  <c r="F76" s="1"/>
  <c r="F77" s="1"/>
  <c r="F79" s="1"/>
  <c r="H67"/>
  <c r="J67" s="1"/>
  <c r="L67" s="1"/>
  <c r="M67" s="1"/>
  <c r="V28"/>
  <c r="W27"/>
  <c r="V42"/>
  <c r="W42" s="1"/>
  <c r="X42" s="1"/>
  <c r="W26" s="1"/>
  <c r="H70"/>
  <c r="J70" s="1"/>
  <c r="L70" s="1"/>
  <c r="M70" s="1"/>
  <c r="V61"/>
  <c r="W61" s="1"/>
  <c r="X61" s="1"/>
  <c r="U62"/>
  <c r="V54"/>
  <c r="W54" s="1"/>
  <c r="X54" s="1"/>
  <c r="V51"/>
  <c r="W51" s="1"/>
  <c r="X51" s="1"/>
  <c r="H56" i="25"/>
  <c r="J56" s="1"/>
  <c r="L56" s="1"/>
  <c r="H53"/>
  <c r="J53" s="1"/>
  <c r="L53" s="1"/>
  <c r="M53" s="1"/>
  <c r="F62"/>
  <c r="H59"/>
  <c r="J59" s="1"/>
  <c r="L59" s="1"/>
  <c r="H66"/>
  <c r="F67"/>
  <c r="M50"/>
  <c r="T29"/>
  <c r="S30"/>
  <c r="T30" s="1"/>
  <c r="V46"/>
  <c r="W46" s="1"/>
  <c r="X46" s="1"/>
  <c r="V27" s="1"/>
  <c r="U47"/>
  <c r="V47" s="1"/>
  <c r="U38"/>
  <c r="V37"/>
  <c r="W37" s="1"/>
  <c r="X37" s="1"/>
  <c r="V24" s="1"/>
  <c r="U44"/>
  <c r="V43"/>
  <c r="W43" s="1"/>
  <c r="X43" s="1"/>
  <c r="V26" s="1"/>
  <c r="J57" s="1"/>
  <c r="L57" s="1"/>
  <c r="V49"/>
  <c r="W49" s="1"/>
  <c r="X49" s="1"/>
  <c r="V28" s="1"/>
  <c r="U50"/>
  <c r="V34"/>
  <c r="W34" s="1"/>
  <c r="X34" s="1"/>
  <c r="V23" s="1"/>
  <c r="U35"/>
  <c r="U41"/>
  <c r="V40"/>
  <c r="W40" s="1"/>
  <c r="F35" i="39" l="1"/>
  <c r="H35" s="1"/>
  <c r="J35" s="1"/>
  <c r="D36"/>
  <c r="M56" i="25"/>
  <c r="X40"/>
  <c r="V25" s="1"/>
  <c r="F80" i="38"/>
  <c r="H79"/>
  <c r="W30"/>
  <c r="W29"/>
  <c r="H73"/>
  <c r="J73" s="1"/>
  <c r="L73" s="1"/>
  <c r="M73" s="1"/>
  <c r="U63"/>
  <c r="V62"/>
  <c r="W62" s="1"/>
  <c r="X62" s="1"/>
  <c r="U33" s="1"/>
  <c r="X32"/>
  <c r="F63" i="25"/>
  <c r="H63" s="1"/>
  <c r="J63" s="1"/>
  <c r="L63" s="1"/>
  <c r="H62"/>
  <c r="J62" s="1"/>
  <c r="L62" s="1"/>
  <c r="M59"/>
  <c r="H67"/>
  <c r="V38"/>
  <c r="W38" s="1"/>
  <c r="X38" s="1"/>
  <c r="W24" s="1"/>
  <c r="V35"/>
  <c r="W35" s="1"/>
  <c r="X35" s="1"/>
  <c r="W23" s="1"/>
  <c r="V44"/>
  <c r="W44" s="1"/>
  <c r="X44" s="1"/>
  <c r="W26" s="1"/>
  <c r="W47"/>
  <c r="X47" s="1"/>
  <c r="W27" s="1"/>
  <c r="V41"/>
  <c r="W41" s="1"/>
  <c r="X41" s="1"/>
  <c r="W25" s="1"/>
  <c r="U51"/>
  <c r="U52" s="1"/>
  <c r="V50"/>
  <c r="W50" s="1"/>
  <c r="X50" s="1"/>
  <c r="W28" s="1"/>
  <c r="J65" s="1"/>
  <c r="L65" s="1"/>
  <c r="D37" i="39" l="1"/>
  <c r="F37" s="1"/>
  <c r="H37" s="1"/>
  <c r="J37" s="1"/>
  <c r="K37" s="1"/>
  <c r="K58" s="1"/>
  <c r="F36"/>
  <c r="H36" s="1"/>
  <c r="J36" s="1"/>
  <c r="F81" i="38"/>
  <c r="H81" s="1"/>
  <c r="H80"/>
  <c r="H76"/>
  <c r="J76" s="1"/>
  <c r="L76" s="1"/>
  <c r="H77"/>
  <c r="J77" s="1"/>
  <c r="L77" s="1"/>
  <c r="U64"/>
  <c r="V63"/>
  <c r="W63" s="1"/>
  <c r="X63" s="1"/>
  <c r="V33" s="1"/>
  <c r="M63" i="25"/>
  <c r="V51"/>
  <c r="W51" s="1"/>
  <c r="X51" s="1"/>
  <c r="X28" s="1"/>
  <c r="H59" i="39" l="1"/>
  <c r="K59" s="1"/>
  <c r="K61" s="1"/>
  <c r="K63" s="1"/>
  <c r="M77" i="38"/>
  <c r="U65"/>
  <c r="V64"/>
  <c r="W64" s="1"/>
  <c r="X64" s="1"/>
  <c r="W33" s="1"/>
  <c r="J80" s="1"/>
  <c r="L80" s="1"/>
  <c r="U53" i="25"/>
  <c r="V52"/>
  <c r="W52" s="1"/>
  <c r="X52" s="1"/>
  <c r="V65" i="38" l="1"/>
  <c r="W65" s="1"/>
  <c r="X65" s="1"/>
  <c r="U34" s="1"/>
  <c r="U66"/>
  <c r="U54" i="25"/>
  <c r="V53"/>
  <c r="W53" s="1"/>
  <c r="X53" s="1"/>
  <c r="V29" s="1"/>
  <c r="U67" i="38" l="1"/>
  <c r="V67" s="1"/>
  <c r="W67" s="1"/>
  <c r="X67" s="1"/>
  <c r="W34" s="1"/>
  <c r="J81" s="1"/>
  <c r="L81" s="1"/>
  <c r="M81" s="1"/>
  <c r="V66"/>
  <c r="W66" s="1"/>
  <c r="X66" s="1"/>
  <c r="V34" s="1"/>
  <c r="U55" i="25"/>
  <c r="V54"/>
  <c r="W54" s="1"/>
  <c r="X54" s="1"/>
  <c r="W29" s="1"/>
  <c r="J66" s="1"/>
  <c r="L66" s="1"/>
  <c r="F11" i="38" l="1"/>
  <c r="H11" s="1"/>
  <c r="F12"/>
  <c r="H12" s="1"/>
  <c r="F13"/>
  <c r="F14"/>
  <c r="U56" i="25"/>
  <c r="V55"/>
  <c r="W55" s="1"/>
  <c r="X55" s="1"/>
  <c r="U30" s="1"/>
  <c r="J11" i="38" l="1"/>
  <c r="K11" s="1"/>
  <c r="J12"/>
  <c r="K12" s="1"/>
  <c r="L12" s="1"/>
  <c r="U57" i="25"/>
  <c r="V56"/>
  <c r="W56" s="1"/>
  <c r="X56" s="1"/>
  <c r="V30" s="1"/>
  <c r="V57" l="1"/>
  <c r="W57" s="1"/>
  <c r="X57" s="1"/>
  <c r="W30" s="1"/>
  <c r="J67" s="1"/>
  <c r="L67" s="1"/>
  <c r="M67" s="1"/>
  <c r="F11" l="1"/>
  <c r="H11" s="1"/>
  <c r="J11" s="1"/>
  <c r="K11" s="1"/>
  <c r="F14"/>
  <c r="H14" s="1"/>
  <c r="J14" s="1"/>
  <c r="K14" s="1"/>
  <c r="F13"/>
  <c r="H13" s="1"/>
  <c r="F15"/>
  <c r="H15" s="1"/>
  <c r="F12"/>
  <c r="H12" s="1"/>
  <c r="H14" i="38"/>
  <c r="J14" s="1"/>
  <c r="H17"/>
  <c r="J17" s="1"/>
  <c r="H15"/>
  <c r="J15" s="1"/>
  <c r="H13"/>
  <c r="J13" s="1"/>
  <c r="H16"/>
  <c r="J16" s="1"/>
  <c r="K17" l="1"/>
  <c r="K15"/>
  <c r="K16"/>
  <c r="K14"/>
  <c r="K13"/>
  <c r="J12" i="25"/>
  <c r="K12" s="1"/>
  <c r="J13"/>
  <c r="K13" s="1"/>
  <c r="J15"/>
  <c r="K15" s="1"/>
</calcChain>
</file>

<file path=xl/sharedStrings.xml><?xml version="1.0" encoding="utf-8"?>
<sst xmlns="http://schemas.openxmlformats.org/spreadsheetml/2006/main" count="607" uniqueCount="352">
  <si>
    <t>計算条件</t>
    <rPh sb="0" eb="2">
      <t>ケイサン</t>
    </rPh>
    <rPh sb="2" eb="4">
      <t>ジョウケン</t>
    </rPh>
    <phoneticPr fontId="2"/>
  </si>
  <si>
    <t>栓</t>
    <rPh sb="0" eb="1">
      <t>セン</t>
    </rPh>
    <phoneticPr fontId="2"/>
  </si>
  <si>
    <t>台所流し</t>
    <rPh sb="0" eb="2">
      <t>ダイドコロ</t>
    </rPh>
    <rPh sb="2" eb="3">
      <t>ナガ</t>
    </rPh>
    <phoneticPr fontId="2"/>
  </si>
  <si>
    <t>浴槽（洋式）</t>
    <rPh sb="0" eb="2">
      <t>ヨクソウ</t>
    </rPh>
    <rPh sb="3" eb="5">
      <t>ヨウシキ</t>
    </rPh>
    <phoneticPr fontId="2"/>
  </si>
  <si>
    <t>口径</t>
    <rPh sb="0" eb="2">
      <t>コウケイ</t>
    </rPh>
    <phoneticPr fontId="2"/>
  </si>
  <si>
    <t>使用水量</t>
    <rPh sb="0" eb="2">
      <t>シヨウ</t>
    </rPh>
    <rPh sb="2" eb="4">
      <t>スイリョウ</t>
    </rPh>
    <phoneticPr fontId="2"/>
  </si>
  <si>
    <t>（ℓ/分）</t>
    <rPh sb="3" eb="4">
      <t>フン</t>
    </rPh>
    <phoneticPr fontId="2"/>
  </si>
  <si>
    <t>合計</t>
    <rPh sb="0" eb="2">
      <t>ゴウケイ</t>
    </rPh>
    <phoneticPr fontId="2"/>
  </si>
  <si>
    <t>計画使用水量</t>
    <rPh sb="0" eb="2">
      <t>ケイカク</t>
    </rPh>
    <rPh sb="2" eb="4">
      <t>シヨウ</t>
    </rPh>
    <rPh sb="4" eb="6">
      <t>スイリョウ</t>
    </rPh>
    <phoneticPr fontId="2"/>
  </si>
  <si>
    <t>区間</t>
    <rPh sb="0" eb="2">
      <t>クカン</t>
    </rPh>
    <phoneticPr fontId="2"/>
  </si>
  <si>
    <t>流量</t>
    <rPh sb="0" eb="2">
      <t>リュウリョウ</t>
    </rPh>
    <phoneticPr fontId="2"/>
  </si>
  <si>
    <t>動水勾配</t>
    <rPh sb="0" eb="1">
      <t>ドウ</t>
    </rPh>
    <rPh sb="1" eb="2">
      <t>スイ</t>
    </rPh>
    <rPh sb="2" eb="4">
      <t>コウバイ</t>
    </rPh>
    <phoneticPr fontId="2"/>
  </si>
  <si>
    <t>延長</t>
    <rPh sb="0" eb="2">
      <t>エンチョウ</t>
    </rPh>
    <phoneticPr fontId="2"/>
  </si>
  <si>
    <t>損失水頭</t>
    <rPh sb="0" eb="2">
      <t>ソンシツ</t>
    </rPh>
    <rPh sb="2" eb="4">
      <t>スイトウ</t>
    </rPh>
    <phoneticPr fontId="2"/>
  </si>
  <si>
    <t>立上げ高</t>
    <rPh sb="0" eb="2">
      <t>タチア</t>
    </rPh>
    <rPh sb="3" eb="4">
      <t>タカ</t>
    </rPh>
    <phoneticPr fontId="2"/>
  </si>
  <si>
    <t>所要水頭</t>
    <rPh sb="0" eb="2">
      <t>ショヨウ</t>
    </rPh>
    <rPh sb="2" eb="4">
      <t>スイトウ</t>
    </rPh>
    <phoneticPr fontId="2"/>
  </si>
  <si>
    <t>（㎜）</t>
    <phoneticPr fontId="2"/>
  </si>
  <si>
    <t>（‰）</t>
    <phoneticPr fontId="2"/>
  </si>
  <si>
    <t>（ｍ）</t>
    <phoneticPr fontId="2"/>
  </si>
  <si>
    <t>器具類</t>
    <rPh sb="0" eb="2">
      <t>キグ</t>
    </rPh>
    <rPh sb="2" eb="3">
      <t>ルイ</t>
    </rPh>
    <phoneticPr fontId="2"/>
  </si>
  <si>
    <t>　メーター</t>
    <phoneticPr fontId="2"/>
  </si>
  <si>
    <t>　逆ボ直結止水栓</t>
    <rPh sb="1" eb="2">
      <t>ギャク</t>
    </rPh>
    <rPh sb="3" eb="5">
      <t>チョッケツ</t>
    </rPh>
    <rPh sb="5" eb="7">
      <t>シスイ</t>
    </rPh>
    <rPh sb="7" eb="8">
      <t>セン</t>
    </rPh>
    <phoneticPr fontId="2"/>
  </si>
  <si>
    <t>　サドル分水栓</t>
    <rPh sb="4" eb="6">
      <t>ブンスイ</t>
    </rPh>
    <rPh sb="6" eb="7">
      <t>セン</t>
    </rPh>
    <phoneticPr fontId="2"/>
  </si>
  <si>
    <t>（㎜）</t>
    <phoneticPr fontId="2"/>
  </si>
  <si>
    <t>（ℓ/分）</t>
    <phoneticPr fontId="2"/>
  </si>
  <si>
    <t>トイレ</t>
    <phoneticPr fontId="2"/>
  </si>
  <si>
    <t>記号</t>
    <rPh sb="0" eb="2">
      <t>キゴウ</t>
    </rPh>
    <phoneticPr fontId="2"/>
  </si>
  <si>
    <t>①メータ以降</t>
    <rPh sb="4" eb="6">
      <t>イコウ</t>
    </rPh>
    <phoneticPr fontId="2"/>
  </si>
  <si>
    <t>直結止水栓</t>
    <rPh sb="0" eb="2">
      <t>チョッケツ</t>
    </rPh>
    <rPh sb="2" eb="4">
      <t>シスイ</t>
    </rPh>
    <rPh sb="4" eb="5">
      <t>セン</t>
    </rPh>
    <phoneticPr fontId="2"/>
  </si>
  <si>
    <t>給水器具</t>
    <rPh sb="0" eb="2">
      <t>キュウスイ</t>
    </rPh>
    <rPh sb="2" eb="4">
      <t>キグ</t>
    </rPh>
    <phoneticPr fontId="2"/>
  </si>
  <si>
    <t>分水栓～C</t>
    <rPh sb="0" eb="2">
      <t>ブンスイ</t>
    </rPh>
    <rPh sb="2" eb="3">
      <t>セン</t>
    </rPh>
    <phoneticPr fontId="2"/>
  </si>
  <si>
    <t>分水栓～B</t>
    <rPh sb="0" eb="2">
      <t>ブンスイ</t>
    </rPh>
    <rPh sb="2" eb="3">
      <t>セン</t>
    </rPh>
    <phoneticPr fontId="2"/>
  </si>
  <si>
    <t>分水栓～A</t>
    <rPh sb="0" eb="2">
      <t>ブンスイ</t>
    </rPh>
    <rPh sb="2" eb="3">
      <t>セン</t>
    </rPh>
    <phoneticPr fontId="2"/>
  </si>
  <si>
    <t>メーター</t>
    <phoneticPr fontId="2"/>
  </si>
  <si>
    <t>②分水栓～メーター</t>
    <rPh sb="1" eb="3">
      <t>ブンスイ</t>
    </rPh>
    <rPh sb="3" eb="4">
      <t>セン</t>
    </rPh>
    <phoneticPr fontId="2"/>
  </si>
  <si>
    <t>地区整理番号：</t>
    <rPh sb="0" eb="2">
      <t>チク</t>
    </rPh>
    <rPh sb="2" eb="4">
      <t>セイリ</t>
    </rPh>
    <rPh sb="4" eb="6">
      <t>バンゴウ</t>
    </rPh>
    <phoneticPr fontId="2"/>
  </si>
  <si>
    <t>設置場所　　：</t>
    <rPh sb="0" eb="2">
      <t>セッチ</t>
    </rPh>
    <rPh sb="2" eb="4">
      <t>バショ</t>
    </rPh>
    <phoneticPr fontId="2"/>
  </si>
  <si>
    <t>申請者氏名　：</t>
    <rPh sb="0" eb="3">
      <t>シンセイシャ</t>
    </rPh>
    <rPh sb="3" eb="5">
      <t>シメイ</t>
    </rPh>
    <phoneticPr fontId="2"/>
  </si>
  <si>
    <t>-</t>
    <phoneticPr fontId="2"/>
  </si>
  <si>
    <t>A</t>
    <phoneticPr fontId="2"/>
  </si>
  <si>
    <t>分水栓～D</t>
    <rPh sb="0" eb="2">
      <t>ブンスイ</t>
    </rPh>
    <rPh sb="2" eb="3">
      <t>セン</t>
    </rPh>
    <phoneticPr fontId="2"/>
  </si>
  <si>
    <t>B</t>
    <phoneticPr fontId="2"/>
  </si>
  <si>
    <t>C</t>
    <phoneticPr fontId="2"/>
  </si>
  <si>
    <t>D</t>
    <phoneticPr fontId="2"/>
  </si>
  <si>
    <t>C</t>
    <phoneticPr fontId="2"/>
  </si>
  <si>
    <t>E</t>
    <phoneticPr fontId="2"/>
  </si>
  <si>
    <t>E～d</t>
    <phoneticPr fontId="2"/>
  </si>
  <si>
    <t>2.</t>
    <phoneticPr fontId="2"/>
  </si>
  <si>
    <t>3.</t>
    <phoneticPr fontId="2"/>
  </si>
  <si>
    <t>1.</t>
    <phoneticPr fontId="2"/>
  </si>
  <si>
    <t>水栓類の損失水頭</t>
    <rPh sb="0" eb="1">
      <t>スイ</t>
    </rPh>
    <rPh sb="1" eb="2">
      <t>セン</t>
    </rPh>
    <rPh sb="2" eb="3">
      <t>ルイ</t>
    </rPh>
    <rPh sb="4" eb="6">
      <t>ソンシツ</t>
    </rPh>
    <rPh sb="6" eb="8">
      <t>スイトウ</t>
    </rPh>
    <phoneticPr fontId="2"/>
  </si>
  <si>
    <t>（ℓ/秒）</t>
    <rPh sb="3" eb="4">
      <t>ビョウ</t>
    </rPh>
    <phoneticPr fontId="2"/>
  </si>
  <si>
    <t>直結止水栓</t>
    <rPh sb="0" eb="2">
      <t>チョッケツ</t>
    </rPh>
    <rPh sb="2" eb="5">
      <t>シスイセン</t>
    </rPh>
    <phoneticPr fontId="2"/>
  </si>
  <si>
    <t>サドル分水栓</t>
    <rPh sb="3" eb="5">
      <t>ブンスイ</t>
    </rPh>
    <rPh sb="5" eb="6">
      <t>セン</t>
    </rPh>
    <phoneticPr fontId="2"/>
  </si>
  <si>
    <t>サドル分水栓</t>
    <rPh sb="3" eb="6">
      <t>ブンスイセン</t>
    </rPh>
    <phoneticPr fontId="2"/>
  </si>
  <si>
    <t>分水栓～E</t>
    <rPh sb="0" eb="2">
      <t>ブンスイ</t>
    </rPh>
    <rPh sb="2" eb="3">
      <t>セン</t>
    </rPh>
    <phoneticPr fontId="2"/>
  </si>
  <si>
    <t>A～a</t>
    <phoneticPr fontId="2"/>
  </si>
  <si>
    <t>a</t>
    <phoneticPr fontId="2"/>
  </si>
  <si>
    <t>b</t>
    <phoneticPr fontId="2"/>
  </si>
  <si>
    <t>log x</t>
    <phoneticPr fontId="2"/>
  </si>
  <si>
    <t>log y</t>
    <phoneticPr fontId="2"/>
  </si>
  <si>
    <t>（ℓ/分）</t>
    <phoneticPr fontId="2"/>
  </si>
  <si>
    <t>（㎜）</t>
    <phoneticPr fontId="2"/>
  </si>
  <si>
    <t>（‰）</t>
    <phoneticPr fontId="2"/>
  </si>
  <si>
    <t>（ｍ）</t>
    <phoneticPr fontId="2"/>
  </si>
  <si>
    <t>設計水圧</t>
    <rPh sb="0" eb="2">
      <t>セッケイ</t>
    </rPh>
    <rPh sb="2" eb="4">
      <t>スイアツ</t>
    </rPh>
    <phoneticPr fontId="2"/>
  </si>
  <si>
    <t>給水器具数</t>
    <rPh sb="0" eb="2">
      <t>キュウスイ</t>
    </rPh>
    <rPh sb="2" eb="4">
      <t>キグ</t>
    </rPh>
    <rPh sb="4" eb="5">
      <t>スウ</t>
    </rPh>
    <phoneticPr fontId="2"/>
  </si>
  <si>
    <t>栓</t>
    <rPh sb="0" eb="1">
      <t>セン</t>
    </rPh>
    <phoneticPr fontId="2"/>
  </si>
  <si>
    <t>同時使用栓数</t>
    <rPh sb="0" eb="2">
      <t>ドウジ</t>
    </rPh>
    <rPh sb="2" eb="4">
      <t>シヨウ</t>
    </rPh>
    <rPh sb="4" eb="5">
      <t>セン</t>
    </rPh>
    <rPh sb="5" eb="6">
      <t>カズ</t>
    </rPh>
    <phoneticPr fontId="2"/>
  </si>
  <si>
    <t>下限値30*2/3</t>
    <rPh sb="0" eb="3">
      <t>カゲンチ</t>
    </rPh>
    <phoneticPr fontId="2"/>
  </si>
  <si>
    <t>給水管の条件</t>
    <rPh sb="0" eb="2">
      <t>キュウスイ</t>
    </rPh>
    <rPh sb="2" eb="3">
      <t>カン</t>
    </rPh>
    <rPh sb="4" eb="6">
      <t>ジョウケン</t>
    </rPh>
    <phoneticPr fontId="2"/>
  </si>
  <si>
    <t>分水栓</t>
    <rPh sb="0" eb="2">
      <t>ブンスイ</t>
    </rPh>
    <rPh sb="2" eb="3">
      <t>セン</t>
    </rPh>
    <phoneticPr fontId="2"/>
  </si>
  <si>
    <t>止水栓</t>
    <rPh sb="0" eb="2">
      <t>シスイ</t>
    </rPh>
    <rPh sb="2" eb="3">
      <t>セン</t>
    </rPh>
    <phoneticPr fontId="2"/>
  </si>
  <si>
    <t>メーター</t>
    <phoneticPr fontId="2"/>
  </si>
  <si>
    <t>余裕水頭</t>
    <rPh sb="0" eb="2">
      <t>ヨユウ</t>
    </rPh>
    <rPh sb="2" eb="4">
      <t>スイトウ</t>
    </rPh>
    <phoneticPr fontId="2"/>
  </si>
  <si>
    <t>使用水量の摘要</t>
    <rPh sb="0" eb="2">
      <t>シヨウ</t>
    </rPh>
    <rPh sb="2" eb="4">
      <t>スイリョウ</t>
    </rPh>
    <rPh sb="5" eb="7">
      <t>テキヨウ</t>
    </rPh>
    <phoneticPr fontId="2"/>
  </si>
  <si>
    <t>余裕水頭の摘要</t>
    <rPh sb="0" eb="2">
      <t>ヨユウ</t>
    </rPh>
    <rPh sb="2" eb="4">
      <t>スイトウ</t>
    </rPh>
    <rPh sb="5" eb="7">
      <t>テキヨウ</t>
    </rPh>
    <phoneticPr fontId="2"/>
  </si>
  <si>
    <t>ｼｬﾜｰﾍｯﾄﾞまたは給湯機を考慮</t>
    <rPh sb="11" eb="13">
      <t>キュウトウ</t>
    </rPh>
    <rPh sb="13" eb="14">
      <t>キ</t>
    </rPh>
    <rPh sb="15" eb="17">
      <t>コウリョ</t>
    </rPh>
    <phoneticPr fontId="2"/>
  </si>
  <si>
    <t>口径</t>
    <rPh sb="0" eb="2">
      <t>コウケイ</t>
    </rPh>
    <phoneticPr fontId="2"/>
  </si>
  <si>
    <t>ヘッダー</t>
    <phoneticPr fontId="2"/>
  </si>
  <si>
    <t>摘　　要</t>
    <rPh sb="0" eb="1">
      <t>チャク</t>
    </rPh>
    <rPh sb="3" eb="4">
      <t>ヨウ</t>
    </rPh>
    <phoneticPr fontId="2"/>
  </si>
  <si>
    <t>ｍ（20/25)</t>
    <phoneticPr fontId="2"/>
  </si>
  <si>
    <t>立上高m</t>
    <rPh sb="0" eb="2">
      <t>タチアゲ</t>
    </rPh>
    <rPh sb="2" eb="3">
      <t>タカ</t>
    </rPh>
    <phoneticPr fontId="2"/>
  </si>
  <si>
    <t>延長m</t>
    <rPh sb="0" eb="2">
      <t>エンチョウ</t>
    </rPh>
    <phoneticPr fontId="2"/>
  </si>
  <si>
    <t>流量 x</t>
    <rPh sb="0" eb="2">
      <t>リュウリョウ</t>
    </rPh>
    <phoneticPr fontId="2"/>
  </si>
  <si>
    <t>損失 y</t>
    <rPh sb="0" eb="2">
      <t>ソンシツ</t>
    </rPh>
    <phoneticPr fontId="2"/>
  </si>
  <si>
    <t>図3.5.4.4　グラフの回帰直線計算</t>
    <rPh sb="0" eb="1">
      <t>ズ</t>
    </rPh>
    <rPh sb="13" eb="15">
      <t>カイキ</t>
    </rPh>
    <rPh sb="15" eb="17">
      <t>チョクセン</t>
    </rPh>
    <rPh sb="17" eb="19">
      <t>ケイサン</t>
    </rPh>
    <phoneticPr fontId="2"/>
  </si>
  <si>
    <r>
      <t>条件入力表（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を入力）</t>
    </r>
    <rPh sb="0" eb="2">
      <t>ジョウケン</t>
    </rPh>
    <rPh sb="2" eb="4">
      <t>ニュウリョク</t>
    </rPh>
    <rPh sb="4" eb="5">
      <t>ヒョウ</t>
    </rPh>
    <rPh sb="6" eb="8">
      <t>アカジ</t>
    </rPh>
    <rPh sb="9" eb="11">
      <t>ニュウリョク</t>
    </rPh>
    <phoneticPr fontId="2"/>
  </si>
  <si>
    <t>水栓類の自動計算表(入力・改変しないこと）</t>
    <rPh sb="0" eb="1">
      <t>スイ</t>
    </rPh>
    <rPh sb="1" eb="2">
      <t>セン</t>
    </rPh>
    <rPh sb="2" eb="3">
      <t>ルイ</t>
    </rPh>
    <rPh sb="4" eb="6">
      <t>ジドウ</t>
    </rPh>
    <rPh sb="6" eb="8">
      <t>ケイサン</t>
    </rPh>
    <rPh sb="8" eb="9">
      <t>ヒョウ</t>
    </rPh>
    <rPh sb="10" eb="12">
      <t>ニュウリョク</t>
    </rPh>
    <rPh sb="13" eb="15">
      <t>カイヘン</t>
    </rPh>
    <phoneticPr fontId="2"/>
  </si>
  <si>
    <t>D～d</t>
    <phoneticPr fontId="2"/>
  </si>
  <si>
    <t>d～c</t>
    <phoneticPr fontId="2"/>
  </si>
  <si>
    <t>区間</t>
    <rPh sb="0" eb="2">
      <t>クカン</t>
    </rPh>
    <phoneticPr fontId="2"/>
  </si>
  <si>
    <t>e～f</t>
    <phoneticPr fontId="2"/>
  </si>
  <si>
    <t>f～a</t>
    <phoneticPr fontId="2"/>
  </si>
  <si>
    <t>a～ｂ</t>
    <phoneticPr fontId="2"/>
  </si>
  <si>
    <t>ｂ～ｃ</t>
    <phoneticPr fontId="2"/>
  </si>
  <si>
    <t>ｃ～ｄ</t>
    <phoneticPr fontId="2"/>
  </si>
  <si>
    <t>A～a</t>
    <phoneticPr fontId="2"/>
  </si>
  <si>
    <t>B～ｂ</t>
    <phoneticPr fontId="2"/>
  </si>
  <si>
    <t>C～c</t>
    <phoneticPr fontId="2"/>
  </si>
  <si>
    <t>D～d</t>
    <phoneticPr fontId="2"/>
  </si>
  <si>
    <t>E～d</t>
    <phoneticPr fontId="2"/>
  </si>
  <si>
    <t>C～ｃ</t>
    <phoneticPr fontId="2"/>
  </si>
  <si>
    <t>ｃ～b</t>
    <phoneticPr fontId="2"/>
  </si>
  <si>
    <t>b～a</t>
    <phoneticPr fontId="2"/>
  </si>
  <si>
    <t>a～f</t>
    <phoneticPr fontId="2"/>
  </si>
  <si>
    <t>f～e</t>
    <phoneticPr fontId="2"/>
  </si>
  <si>
    <t>*1.1=</t>
    <phoneticPr fontId="2"/>
  </si>
  <si>
    <t>＋余裕水頭</t>
    <rPh sb="1" eb="3">
      <t>ヨユウ</t>
    </rPh>
    <rPh sb="3" eb="5">
      <t>スイトウ</t>
    </rPh>
    <phoneticPr fontId="2"/>
  </si>
  <si>
    <t>計算結果：各給水器具までの損失水頭合計と合否判定</t>
    <rPh sb="0" eb="2">
      <t>ケイサン</t>
    </rPh>
    <rPh sb="2" eb="4">
      <t>ケッカ</t>
    </rPh>
    <rPh sb="5" eb="6">
      <t>カク</t>
    </rPh>
    <rPh sb="6" eb="8">
      <t>キュウスイ</t>
    </rPh>
    <rPh sb="8" eb="10">
      <t>キグ</t>
    </rPh>
    <rPh sb="13" eb="15">
      <t>ソンシツ</t>
    </rPh>
    <rPh sb="15" eb="17">
      <t>スイトウ</t>
    </rPh>
    <rPh sb="17" eb="19">
      <t>ゴウケイ</t>
    </rPh>
    <rPh sb="20" eb="22">
      <t>ゴウヒ</t>
    </rPh>
    <rPh sb="22" eb="24">
      <t>ハンテイ</t>
    </rPh>
    <phoneticPr fontId="2"/>
  </si>
  <si>
    <t>損失水頭の自動計算表（入力・改変しないこと）</t>
    <rPh sb="0" eb="2">
      <t>ソンシツ</t>
    </rPh>
    <rPh sb="2" eb="4">
      <t>スイトウ</t>
    </rPh>
    <rPh sb="5" eb="7">
      <t>ジドウ</t>
    </rPh>
    <rPh sb="7" eb="9">
      <t>ケイサン</t>
    </rPh>
    <rPh sb="9" eb="10">
      <t>ヒョウ</t>
    </rPh>
    <rPh sb="11" eb="13">
      <t>ニュウリョク</t>
    </rPh>
    <rPh sb="14" eb="16">
      <t>カイヘン</t>
    </rPh>
    <phoneticPr fontId="2"/>
  </si>
  <si>
    <t xml:space="preserve">    f</t>
    <phoneticPr fontId="2"/>
  </si>
  <si>
    <t xml:space="preserve">1F  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</si>
  <si>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</si>
  <si>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</si>
  <si>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</si>
  <si>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</si>
  <si>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V</t>
    <phoneticPr fontId="2"/>
  </si>
  <si>
    <t>止水栓、メーター</t>
    <rPh sb="0" eb="2">
      <t>シスイ</t>
    </rPh>
    <rPh sb="2" eb="3">
      <t>セン</t>
    </rPh>
    <phoneticPr fontId="2"/>
  </si>
  <si>
    <t>L</t>
    <phoneticPr fontId="2"/>
  </si>
  <si>
    <t xml:space="preserve">e   </t>
    <phoneticPr fontId="2"/>
  </si>
  <si>
    <t xml:space="preserve"> L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</si>
  <si>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</si>
  <si>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</si>
  <si>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</si>
  <si>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</si>
  <si>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 xml:space="preserve">E  </t>
    <phoneticPr fontId="2"/>
  </si>
  <si>
    <t>2F</t>
    <phoneticPr fontId="2"/>
  </si>
  <si>
    <t>給水　楽太郎</t>
    <rPh sb="0" eb="2">
      <t>キュウスイ</t>
    </rPh>
    <rPh sb="3" eb="4">
      <t>ラク</t>
    </rPh>
    <rPh sb="4" eb="6">
      <t>タロウ</t>
    </rPh>
    <phoneticPr fontId="2"/>
  </si>
  <si>
    <t>0123</t>
    <phoneticPr fontId="2"/>
  </si>
  <si>
    <t>自動反映</t>
    <rPh sb="0" eb="2">
      <t>ジドウ</t>
    </rPh>
    <rPh sb="2" eb="4">
      <t>ハンエイ</t>
    </rPh>
    <phoneticPr fontId="2"/>
  </si>
  <si>
    <t>　2F　D</t>
    <phoneticPr fontId="2"/>
  </si>
  <si>
    <t>　3F　F</t>
    <phoneticPr fontId="2"/>
  </si>
  <si>
    <t xml:space="preserve">G </t>
    <phoneticPr fontId="2"/>
  </si>
  <si>
    <t>F</t>
    <phoneticPr fontId="2"/>
  </si>
  <si>
    <t>G</t>
    <phoneticPr fontId="2"/>
  </si>
  <si>
    <t>洗面器</t>
    <rPh sb="0" eb="3">
      <t>センメンキ</t>
    </rPh>
    <phoneticPr fontId="2"/>
  </si>
  <si>
    <t>洗面台</t>
    <rPh sb="0" eb="3">
      <t>センメンダイ</t>
    </rPh>
    <phoneticPr fontId="2"/>
  </si>
  <si>
    <t>下限値8*2/3</t>
    <rPh sb="0" eb="3">
      <t>カゲンチ</t>
    </rPh>
    <phoneticPr fontId="2"/>
  </si>
  <si>
    <t>下限値12*2/3</t>
    <rPh sb="0" eb="3">
      <t>カゲンチ</t>
    </rPh>
    <phoneticPr fontId="2"/>
  </si>
  <si>
    <t>e</t>
    <phoneticPr fontId="2"/>
  </si>
  <si>
    <t>f</t>
    <phoneticPr fontId="2"/>
  </si>
  <si>
    <t xml:space="preserve">h   </t>
    <phoneticPr fontId="2"/>
  </si>
  <si>
    <t xml:space="preserve">    i</t>
    <phoneticPr fontId="2"/>
  </si>
  <si>
    <t>h～i</t>
    <phoneticPr fontId="2"/>
  </si>
  <si>
    <t>i～a</t>
    <phoneticPr fontId="2"/>
  </si>
  <si>
    <t>d～e</t>
    <phoneticPr fontId="2"/>
  </si>
  <si>
    <t>E～e</t>
    <phoneticPr fontId="2"/>
  </si>
  <si>
    <t>F～f</t>
    <phoneticPr fontId="2"/>
  </si>
  <si>
    <t>G～f</t>
    <phoneticPr fontId="2"/>
  </si>
  <si>
    <t>　メーター</t>
    <phoneticPr fontId="2"/>
  </si>
  <si>
    <t>E～e</t>
    <phoneticPr fontId="2"/>
  </si>
  <si>
    <t>e～d</t>
    <phoneticPr fontId="2"/>
  </si>
  <si>
    <t>a～i</t>
    <phoneticPr fontId="2"/>
  </si>
  <si>
    <t>i～h</t>
    <phoneticPr fontId="2"/>
  </si>
  <si>
    <t>分水栓～F</t>
    <rPh sb="0" eb="2">
      <t>ブンスイ</t>
    </rPh>
    <rPh sb="2" eb="3">
      <t>セン</t>
    </rPh>
    <phoneticPr fontId="2"/>
  </si>
  <si>
    <t>分水栓～G</t>
    <rPh sb="0" eb="2">
      <t>ブンスイ</t>
    </rPh>
    <rPh sb="2" eb="3">
      <t>セン</t>
    </rPh>
    <phoneticPr fontId="2"/>
  </si>
  <si>
    <t>三階　出る代</t>
    <rPh sb="0" eb="2">
      <t>サンカイ</t>
    </rPh>
    <rPh sb="3" eb="4">
      <t>デ</t>
    </rPh>
    <rPh sb="5" eb="6">
      <t>ダイ</t>
    </rPh>
    <phoneticPr fontId="2"/>
  </si>
  <si>
    <t>0030</t>
    <phoneticPr fontId="2"/>
  </si>
  <si>
    <t>0020</t>
    <phoneticPr fontId="2"/>
  </si>
  <si>
    <t>　　　計算結果へ</t>
    <rPh sb="3" eb="5">
      <t>ケイサン</t>
    </rPh>
    <rPh sb="5" eb="7">
      <t>ケッカ</t>
    </rPh>
    <phoneticPr fontId="2"/>
  </si>
  <si>
    <t>　　　　　計算結果へ</t>
    <rPh sb="5" eb="7">
      <t>ケイサン</t>
    </rPh>
    <rPh sb="7" eb="9">
      <t>ケッカ</t>
    </rPh>
    <phoneticPr fontId="2"/>
  </si>
  <si>
    <t>舞鶴市　清水町2-2</t>
    <rPh sb="0" eb="3">
      <t>マイヅルシ</t>
    </rPh>
    <rPh sb="4" eb="6">
      <t>シミズ</t>
    </rPh>
    <rPh sb="6" eb="7">
      <t>チョウ</t>
    </rPh>
    <phoneticPr fontId="2"/>
  </si>
  <si>
    <t>舞鶴市　出水町3-3</t>
    <rPh sb="0" eb="3">
      <t>マイヅルシ</t>
    </rPh>
    <rPh sb="4" eb="6">
      <t>デミズ</t>
    </rPh>
    <rPh sb="6" eb="7">
      <t>マチ</t>
    </rPh>
    <phoneticPr fontId="2"/>
  </si>
  <si>
    <r>
      <rPr>
        <b/>
        <sz val="11"/>
        <rFont val="ＭＳ ゴシック"/>
        <family val="3"/>
        <charset val="128"/>
      </rPr>
      <t>条件入力表で</t>
    </r>
    <r>
      <rPr>
        <b/>
        <sz val="11"/>
        <color rgb="FFFF0000"/>
        <rFont val="ＭＳ ゴシック"/>
        <family val="3"/>
        <charset val="128"/>
      </rPr>
      <t>赤文字</t>
    </r>
    <r>
      <rPr>
        <b/>
        <sz val="11"/>
        <rFont val="ＭＳ ゴシック"/>
        <family val="3"/>
        <charset val="128"/>
      </rPr>
      <t>の</t>
    </r>
    <r>
      <rPr>
        <b/>
        <sz val="11"/>
        <color rgb="FFFF0000"/>
        <rFont val="ＭＳ ゴシック"/>
        <family val="3"/>
        <charset val="128"/>
      </rPr>
      <t>口径、流量、延長</t>
    </r>
    <r>
      <rPr>
        <b/>
        <sz val="11"/>
        <rFont val="ＭＳ ゴシック"/>
        <family val="3"/>
        <charset val="128"/>
      </rPr>
      <t>などを入力すれば、計算結果と概略図が出来上がります</t>
    </r>
    <rPh sb="0" eb="2">
      <t>ジョウケン</t>
    </rPh>
    <rPh sb="2" eb="4">
      <t>ニュウリョク</t>
    </rPh>
    <rPh sb="4" eb="5">
      <t>ヒョウ</t>
    </rPh>
    <rPh sb="6" eb="7">
      <t>アカ</t>
    </rPh>
    <rPh sb="7" eb="9">
      <t>モジ</t>
    </rPh>
    <rPh sb="10" eb="12">
      <t>コウケイ</t>
    </rPh>
    <rPh sb="13" eb="15">
      <t>リュウリョウ</t>
    </rPh>
    <rPh sb="16" eb="18">
      <t>エンチョウ</t>
    </rPh>
    <rPh sb="21" eb="23">
      <t>ニュウリョク</t>
    </rPh>
    <rPh sb="27" eb="29">
      <t>ケイサン</t>
    </rPh>
    <rPh sb="29" eb="31">
      <t>ケッカ</t>
    </rPh>
    <rPh sb="32" eb="34">
      <t>ガイリャク</t>
    </rPh>
    <rPh sb="34" eb="35">
      <t>ズ</t>
    </rPh>
    <rPh sb="36" eb="39">
      <t>デキア</t>
    </rPh>
    <phoneticPr fontId="2"/>
  </si>
  <si>
    <t>※初期モデルでは器具ＡとＤを使用せず３栓同時使用の計画となっています</t>
    <rPh sb="1" eb="3">
      <t>ショキ</t>
    </rPh>
    <rPh sb="8" eb="10">
      <t>キグ</t>
    </rPh>
    <rPh sb="14" eb="16">
      <t>シヨウ</t>
    </rPh>
    <rPh sb="19" eb="20">
      <t>セン</t>
    </rPh>
    <rPh sb="20" eb="22">
      <t>ドウジ</t>
    </rPh>
    <rPh sb="22" eb="24">
      <t>シヨウ</t>
    </rPh>
    <rPh sb="25" eb="27">
      <t>ケイカク</t>
    </rPh>
    <phoneticPr fontId="2"/>
  </si>
  <si>
    <t>※初期モデルでは器具ＡとＦを使用せず５栓同時使用となっています</t>
    <rPh sb="1" eb="3">
      <t>ショキ</t>
    </rPh>
    <rPh sb="8" eb="10">
      <t>キグ</t>
    </rPh>
    <rPh sb="14" eb="16">
      <t>シヨウ</t>
    </rPh>
    <rPh sb="19" eb="20">
      <t>セン</t>
    </rPh>
    <rPh sb="20" eb="22">
      <t>ドウジ</t>
    </rPh>
    <rPh sb="22" eb="24">
      <t>シヨウ</t>
    </rPh>
    <phoneticPr fontId="2"/>
  </si>
  <si>
    <t>給水計画　水理計算　（２階建住宅）</t>
    <rPh sb="0" eb="2">
      <t>キュウスイ</t>
    </rPh>
    <rPh sb="12" eb="13">
      <t>カイ</t>
    </rPh>
    <rPh sb="13" eb="14">
      <t>ダテ</t>
    </rPh>
    <rPh sb="14" eb="16">
      <t>ジュウタク</t>
    </rPh>
    <phoneticPr fontId="2"/>
  </si>
  <si>
    <t>給水計画　水理計算　（３階建住宅）</t>
    <rPh sb="12" eb="14">
      <t>カイダテ</t>
    </rPh>
    <rPh sb="14" eb="16">
      <t>ジュウタク</t>
    </rPh>
    <phoneticPr fontId="2"/>
  </si>
  <si>
    <t>　割Ｔ字管</t>
  </si>
  <si>
    <t>合否判定</t>
    <rPh sb="0" eb="2">
      <t>ゴウヒ</t>
    </rPh>
    <rPh sb="2" eb="4">
      <t>ハンテイ</t>
    </rPh>
    <phoneticPr fontId="2"/>
  </si>
  <si>
    <t>　サドル分水栓</t>
  </si>
  <si>
    <t>　逆ボ直結止水栓</t>
  </si>
  <si>
    <t>合　計</t>
    <rPh sb="0" eb="1">
      <t>ゴウ</t>
    </rPh>
    <rPh sb="2" eb="3">
      <t>ケイ</t>
    </rPh>
    <phoneticPr fontId="2"/>
  </si>
  <si>
    <t>最も損失が大きくなる末端給水栓までの所要水頭</t>
    <rPh sb="0" eb="1">
      <t>モット</t>
    </rPh>
    <rPh sb="2" eb="4">
      <t>ソンシツ</t>
    </rPh>
    <rPh sb="5" eb="6">
      <t>オオ</t>
    </rPh>
    <rPh sb="10" eb="12">
      <t>マッタン</t>
    </rPh>
    <rPh sb="12" eb="15">
      <t>キュウスイセン</t>
    </rPh>
    <rPh sb="18" eb="20">
      <t>ショヨウ</t>
    </rPh>
    <rPh sb="20" eb="22">
      <t>スイトウ</t>
    </rPh>
    <phoneticPr fontId="2"/>
  </si>
  <si>
    <t>　メーター</t>
  </si>
  <si>
    <t>　余裕水頭</t>
    <rPh sb="1" eb="3">
      <t>ヨユウ</t>
    </rPh>
    <rPh sb="3" eb="5">
      <t>スイトウ</t>
    </rPh>
    <phoneticPr fontId="2"/>
  </si>
  <si>
    <t>製品資料</t>
  </si>
  <si>
    <t>　逆流防止弁</t>
  </si>
  <si>
    <t>0.10＝</t>
    <phoneticPr fontId="2"/>
  </si>
  <si>
    <t>×</t>
    <phoneticPr fontId="2"/>
  </si>
  <si>
    <t>水栓・管路 損失水等の１０％</t>
    <rPh sb="0" eb="1">
      <t>スイ</t>
    </rPh>
    <rPh sb="1" eb="2">
      <t>セン</t>
    </rPh>
    <rPh sb="3" eb="5">
      <t>カンロ</t>
    </rPh>
    <rPh sb="6" eb="8">
      <t>ソンシツ</t>
    </rPh>
    <rPh sb="8" eb="10">
      <t>スイトウ</t>
    </rPh>
    <phoneticPr fontId="2"/>
  </si>
  <si>
    <t>　分岐、曲管等</t>
    <rPh sb="1" eb="3">
      <t>ブンキ</t>
    </rPh>
    <rPh sb="4" eb="5">
      <t>キョク</t>
    </rPh>
    <rPh sb="5" eb="6">
      <t>カン</t>
    </rPh>
    <rPh sb="6" eb="7">
      <t>トウ</t>
    </rPh>
    <phoneticPr fontId="2"/>
  </si>
  <si>
    <t>　仕切弁</t>
  </si>
  <si>
    <t>小　計</t>
    <rPh sb="0" eb="1">
      <t>ショウ</t>
    </rPh>
    <rPh sb="2" eb="3">
      <t>ケイ</t>
    </rPh>
    <phoneticPr fontId="2"/>
  </si>
  <si>
    <t>SSP</t>
  </si>
  <si>
    <t>割Ｔ字管</t>
  </si>
  <si>
    <t>GP参考</t>
  </si>
  <si>
    <t>直流</t>
  </si>
  <si>
    <t>割Ｔ字管～直結</t>
  </si>
  <si>
    <t>換算延長</t>
    <rPh sb="0" eb="2">
      <t>カンザン</t>
    </rPh>
    <rPh sb="2" eb="4">
      <t>エンチョウ</t>
    </rPh>
    <phoneticPr fontId="2"/>
  </si>
  <si>
    <t>直結止水栓</t>
  </si>
  <si>
    <t>分岐</t>
  </si>
  <si>
    <t>　チーズ</t>
  </si>
  <si>
    <t>メーター</t>
  </si>
  <si>
    <t>逆流防止弁</t>
  </si>
  <si>
    <t>HIVP</t>
  </si>
  <si>
    <t>45°</t>
  </si>
  <si>
    <t>対象16戸</t>
    <rPh sb="0" eb="2">
      <t>タイショウ</t>
    </rPh>
    <rPh sb="4" eb="5">
      <t>ト</t>
    </rPh>
    <phoneticPr fontId="2"/>
  </si>
  <si>
    <t>Ｂ～Ａ</t>
    <phoneticPr fontId="2"/>
  </si>
  <si>
    <t>対象15戸</t>
    <rPh sb="0" eb="2">
      <t>タイショウ</t>
    </rPh>
    <rPh sb="4" eb="5">
      <t>ト</t>
    </rPh>
    <phoneticPr fontId="2"/>
  </si>
  <si>
    <t>Ｃ～Ｂ</t>
    <phoneticPr fontId="2"/>
  </si>
  <si>
    <t>国 交 省
建築設備
設計基準</t>
    <phoneticPr fontId="2"/>
  </si>
  <si>
    <t>90°</t>
  </si>
  <si>
    <t>　エルボ</t>
  </si>
  <si>
    <t>対象14戸</t>
    <rPh sb="0" eb="2">
      <t>タイショウ</t>
    </rPh>
    <rPh sb="4" eb="5">
      <t>ト</t>
    </rPh>
    <phoneticPr fontId="2"/>
  </si>
  <si>
    <t>Ｄ～Ｃ</t>
    <phoneticPr fontId="2"/>
  </si>
  <si>
    <t>給水栓</t>
    <rPh sb="0" eb="3">
      <t>キュウスイセン</t>
    </rPh>
    <phoneticPr fontId="2"/>
  </si>
  <si>
    <t>対象13戸</t>
    <rPh sb="0" eb="2">
      <t>タイショウ</t>
    </rPh>
    <rPh sb="4" eb="5">
      <t>ト</t>
    </rPh>
    <phoneticPr fontId="2"/>
  </si>
  <si>
    <t>Ｅ～Ｄ</t>
    <phoneticPr fontId="2"/>
  </si>
  <si>
    <t>（ℓ/分）</t>
    <phoneticPr fontId="2"/>
  </si>
  <si>
    <r>
      <t>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/h）</t>
    </r>
  </si>
  <si>
    <t>(戸)</t>
  </si>
  <si>
    <t>　ボールタップ　定水位弁</t>
    <rPh sb="8" eb="9">
      <t>テイ</t>
    </rPh>
    <phoneticPr fontId="2"/>
  </si>
  <si>
    <t>対象12戸</t>
    <rPh sb="0" eb="2">
      <t>タイショウ</t>
    </rPh>
    <rPh sb="4" eb="5">
      <t>ト</t>
    </rPh>
    <phoneticPr fontId="2"/>
  </si>
  <si>
    <t>Ｆ～Ｅ</t>
    <phoneticPr fontId="2"/>
  </si>
  <si>
    <t>流量</t>
  </si>
  <si>
    <t>対象11戸</t>
    <rPh sb="0" eb="2">
      <t>タイショウ</t>
    </rPh>
    <rPh sb="4" eb="5">
      <t>ト</t>
    </rPh>
    <phoneticPr fontId="2"/>
  </si>
  <si>
    <t>Ｇ～Ｆ</t>
    <phoneticPr fontId="2"/>
  </si>
  <si>
    <t>使用</t>
  </si>
  <si>
    <t>数</t>
    <phoneticPr fontId="2"/>
  </si>
  <si>
    <t>器具類</t>
  </si>
  <si>
    <t>対象10戸</t>
    <rPh sb="0" eb="2">
      <t>タイショウ</t>
    </rPh>
    <rPh sb="4" eb="5">
      <t>ト</t>
    </rPh>
    <phoneticPr fontId="2"/>
  </si>
  <si>
    <t>Ｈ～Ｇ</t>
    <phoneticPr fontId="2"/>
  </si>
  <si>
    <t>同時</t>
  </si>
  <si>
    <t>戸</t>
    <phoneticPr fontId="2"/>
  </si>
  <si>
    <t>算出根拠</t>
  </si>
  <si>
    <t>口径</t>
  </si>
  <si>
    <t>対象9戸</t>
    <rPh sb="0" eb="2">
      <t>タイショウ</t>
    </rPh>
    <rPh sb="3" eb="4">
      <t>ト</t>
    </rPh>
    <phoneticPr fontId="2"/>
  </si>
  <si>
    <t>I～Ｈ</t>
    <phoneticPr fontId="2"/>
  </si>
  <si>
    <t>参考：BL基準による同時使用水量（戸数から予測）</t>
    <rPh sb="0" eb="2">
      <t>サンコウ</t>
    </rPh>
    <rPh sb="5" eb="7">
      <t>キジュン</t>
    </rPh>
    <rPh sb="10" eb="12">
      <t>ドウジ</t>
    </rPh>
    <rPh sb="12" eb="14">
      <t>シヨウ</t>
    </rPh>
    <rPh sb="14" eb="16">
      <t>スイリョウ</t>
    </rPh>
    <rPh sb="17" eb="19">
      <t>コスウ</t>
    </rPh>
    <rPh sb="21" eb="23">
      <t>ヨソク</t>
    </rPh>
    <phoneticPr fontId="2"/>
  </si>
  <si>
    <t>器具類損失水頭の直管換算長</t>
  </si>
  <si>
    <t>対象8戸</t>
    <rPh sb="0" eb="2">
      <t>タイショウ</t>
    </rPh>
    <rPh sb="3" eb="4">
      <t>ト</t>
    </rPh>
    <phoneticPr fontId="2"/>
  </si>
  <si>
    <t>Ｊ～I</t>
    <phoneticPr fontId="2"/>
  </si>
  <si>
    <t>対象7戸</t>
    <rPh sb="0" eb="2">
      <t>タイショウ</t>
    </rPh>
    <rPh sb="3" eb="4">
      <t>ト</t>
    </rPh>
    <phoneticPr fontId="2"/>
  </si>
  <si>
    <t>Ｋ～Ｊ</t>
    <phoneticPr fontId="2"/>
  </si>
  <si>
    <t>対象6戸</t>
    <rPh sb="0" eb="2">
      <t>タイショウ</t>
    </rPh>
    <rPh sb="3" eb="4">
      <t>ト</t>
    </rPh>
    <phoneticPr fontId="2"/>
  </si>
  <si>
    <t>Ｌ～Ｋ</t>
    <phoneticPr fontId="2"/>
  </si>
  <si>
    <t>対象5戸</t>
    <rPh sb="0" eb="2">
      <t>タイショウ</t>
    </rPh>
    <rPh sb="3" eb="4">
      <t>ト</t>
    </rPh>
    <phoneticPr fontId="2"/>
  </si>
  <si>
    <t>M～L</t>
    <phoneticPr fontId="2"/>
  </si>
  <si>
    <t>　⇐　延長入力</t>
    <rPh sb="3" eb="5">
      <t>エンチョウ</t>
    </rPh>
    <rPh sb="5" eb="7">
      <t>ニュウリョク</t>
    </rPh>
    <phoneticPr fontId="2"/>
  </si>
  <si>
    <t>対象4戸</t>
    <rPh sb="0" eb="2">
      <t>タイショウ</t>
    </rPh>
    <rPh sb="3" eb="4">
      <t>ト</t>
    </rPh>
    <phoneticPr fontId="2"/>
  </si>
  <si>
    <t>N～M</t>
    <phoneticPr fontId="2"/>
  </si>
  <si>
    <t>　⇐　口径入力</t>
    <rPh sb="3" eb="5">
      <t>コウケイ</t>
    </rPh>
    <rPh sb="5" eb="7">
      <t>ニュウリョク</t>
    </rPh>
    <phoneticPr fontId="2"/>
  </si>
  <si>
    <t>対象3戸</t>
    <rPh sb="0" eb="2">
      <t>タイショウ</t>
    </rPh>
    <rPh sb="3" eb="4">
      <t>ト</t>
    </rPh>
    <phoneticPr fontId="2"/>
  </si>
  <si>
    <t>O～N</t>
    <phoneticPr fontId="2"/>
  </si>
  <si>
    <t>　　　（最終室数まで）</t>
    <rPh sb="4" eb="6">
      <t>サイシュウ</t>
    </rPh>
    <rPh sb="6" eb="7">
      <t>シツ</t>
    </rPh>
    <rPh sb="7" eb="8">
      <t>スウ</t>
    </rPh>
    <phoneticPr fontId="2"/>
  </si>
  <si>
    <t>Ａ</t>
    <phoneticPr fontId="2"/>
  </si>
  <si>
    <t>対象2戸</t>
    <rPh sb="0" eb="2">
      <t>タイショウ</t>
    </rPh>
    <rPh sb="3" eb="4">
      <t>ト</t>
    </rPh>
    <phoneticPr fontId="2"/>
  </si>
  <si>
    <t>Ｐ～O</t>
    <phoneticPr fontId="2"/>
  </si>
  <si>
    <t>　⇐　設計室数入力</t>
    <rPh sb="3" eb="5">
      <t>セッケイ</t>
    </rPh>
    <rPh sb="5" eb="6">
      <t>シツ</t>
    </rPh>
    <rPh sb="6" eb="7">
      <t>スウ</t>
    </rPh>
    <rPh sb="7" eb="9">
      <t>ニュウリョク</t>
    </rPh>
    <phoneticPr fontId="2"/>
  </si>
  <si>
    <r>
      <t>━</t>
    </r>
    <r>
      <rPr>
        <sz val="11"/>
        <rFont val="ＭＳ Ｐゴシック"/>
        <family val="3"/>
        <charset val="128"/>
      </rPr>
      <t>Ⓧ</t>
    </r>
    <r>
      <rPr>
        <b/>
        <sz val="14"/>
        <rFont val="ＭＳ Ｐゴシック"/>
        <family val="3"/>
        <charset val="128"/>
      </rPr>
      <t>Ⓜ</t>
    </r>
    <r>
      <rPr>
        <sz val="11"/>
        <rFont val="ＭＳ Ｐゴシック"/>
        <family val="3"/>
        <charset val="128"/>
      </rPr>
      <t>N</t>
    </r>
    <r>
      <rPr>
        <sz val="16"/>
        <rFont val="ＭＳ Ｐゴシック"/>
        <family val="3"/>
        <charset val="128"/>
      </rPr>
      <t>━</t>
    </r>
  </si>
  <si>
    <t>Q～P</t>
    <phoneticPr fontId="2"/>
  </si>
  <si>
    <t>K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</si>
  <si>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</si>
  <si>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</si>
  <si>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</si>
  <si>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</si>
  <si>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</si>
  <si>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</si>
  <si>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</si>
  <si>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直結止水栓</t>
    <phoneticPr fontId="2"/>
  </si>
  <si>
    <t>施設メーター</t>
    <rPh sb="0" eb="2">
      <t>シセツ</t>
    </rPh>
    <phoneticPr fontId="2"/>
  </si>
  <si>
    <t>S～ﾒｰﾀｰ(R）</t>
    <phoneticPr fontId="2"/>
  </si>
  <si>
    <t>　１０号室</t>
    <rPh sb="3" eb="4">
      <t>ゴウ</t>
    </rPh>
    <rPh sb="4" eb="5">
      <t>シツ</t>
    </rPh>
    <phoneticPr fontId="2"/>
  </si>
  <si>
    <t>　８号室</t>
    <rPh sb="2" eb="3">
      <t>ゴウ</t>
    </rPh>
    <rPh sb="3" eb="4">
      <t>シツ</t>
    </rPh>
    <phoneticPr fontId="2"/>
  </si>
  <si>
    <t>　10号室</t>
    <rPh sb="3" eb="4">
      <t>ゴウ</t>
    </rPh>
    <rPh sb="4" eb="5">
      <t>シツ</t>
    </rPh>
    <phoneticPr fontId="2"/>
  </si>
  <si>
    <t>　６号室</t>
    <rPh sb="2" eb="3">
      <t>ゴウ</t>
    </rPh>
    <rPh sb="3" eb="4">
      <t>シツ</t>
    </rPh>
    <phoneticPr fontId="2"/>
  </si>
  <si>
    <t>　12号室</t>
    <rPh sb="3" eb="4">
      <t>ゴウ</t>
    </rPh>
    <rPh sb="4" eb="5">
      <t>シツ</t>
    </rPh>
    <phoneticPr fontId="2"/>
  </si>
  <si>
    <t>　４号室</t>
    <rPh sb="2" eb="3">
      <t>ゴウ</t>
    </rPh>
    <rPh sb="3" eb="4">
      <t>シツ</t>
    </rPh>
    <phoneticPr fontId="2"/>
  </si>
  <si>
    <t>　14号室</t>
    <rPh sb="3" eb="4">
      <t>ゴウ</t>
    </rPh>
    <rPh sb="4" eb="5">
      <t>シツ</t>
    </rPh>
    <phoneticPr fontId="2"/>
  </si>
  <si>
    <t>　２号室</t>
    <rPh sb="2" eb="3">
      <t>ゴウ</t>
    </rPh>
    <rPh sb="3" eb="4">
      <t>シツ</t>
    </rPh>
    <phoneticPr fontId="2"/>
  </si>
  <si>
    <t>　16号室</t>
    <rPh sb="3" eb="4">
      <t>ゴウ</t>
    </rPh>
    <rPh sb="4" eb="5">
      <t>シツ</t>
    </rPh>
    <phoneticPr fontId="2"/>
  </si>
  <si>
    <t>Ｔ～Ｓ</t>
    <phoneticPr fontId="2"/>
  </si>
  <si>
    <t>Ⅲ～Ｔ</t>
    <phoneticPr fontId="2"/>
  </si>
  <si>
    <t>Ⅱ～Ⅲ</t>
    <phoneticPr fontId="2"/>
  </si>
  <si>
    <t>　７号室</t>
    <phoneticPr fontId="2"/>
  </si>
  <si>
    <t>　９号室</t>
    <phoneticPr fontId="2"/>
  </si>
  <si>
    <t>　11号室</t>
    <phoneticPr fontId="2"/>
  </si>
  <si>
    <t>　13号室</t>
    <phoneticPr fontId="2"/>
  </si>
  <si>
    <t>　15号室</t>
    <phoneticPr fontId="2"/>
  </si>
  <si>
    <t>Ⅰ～Ⅱ</t>
    <phoneticPr fontId="2"/>
  </si>
  <si>
    <t>①～Ⅰ</t>
    <phoneticPr fontId="2"/>
  </si>
  <si>
    <t>給水栓①</t>
    <rPh sb="0" eb="3">
      <t>キュウスイセン</t>
    </rPh>
    <phoneticPr fontId="2"/>
  </si>
  <si>
    <t>延長入力　⇒　</t>
    <rPh sb="0" eb="2">
      <t>エンチョウ</t>
    </rPh>
    <rPh sb="2" eb="4">
      <t>ニュウリョク</t>
    </rPh>
    <phoneticPr fontId="2"/>
  </si>
  <si>
    <t>（ｍ）</t>
  </si>
  <si>
    <t>（‰）</t>
  </si>
  <si>
    <t>（㎜）</t>
  </si>
  <si>
    <t>口径入力　⇒　</t>
    <rPh sb="0" eb="2">
      <t>コウケイ</t>
    </rPh>
    <rPh sb="2" eb="4">
      <t>ニュウリョク</t>
    </rPh>
    <phoneticPr fontId="2"/>
  </si>
  <si>
    <t>所要水頭</t>
  </si>
  <si>
    <t>立上げ高</t>
  </si>
  <si>
    <t>損失水頭</t>
  </si>
  <si>
    <t>延長</t>
  </si>
  <si>
    <t>動水勾配</t>
  </si>
  <si>
    <t>区間</t>
  </si>
  <si>
    <t>（１室目から）</t>
    <rPh sb="2" eb="3">
      <t>シツ</t>
    </rPh>
    <rPh sb="3" eb="4">
      <t>メ</t>
    </rPh>
    <phoneticPr fontId="2"/>
  </si>
  <si>
    <t>※換算延長数値は右下表から選択入力</t>
    <rPh sb="1" eb="3">
      <t>カンザン</t>
    </rPh>
    <rPh sb="3" eb="5">
      <t>エンチョウ</t>
    </rPh>
    <rPh sb="5" eb="7">
      <t>スウチ</t>
    </rPh>
    <rPh sb="8" eb="10">
      <t>ミギシタ</t>
    </rPh>
    <rPh sb="10" eb="11">
      <t>ヒョウ</t>
    </rPh>
    <rPh sb="13" eb="15">
      <t>センタク</t>
    </rPh>
    <rPh sb="15" eb="17">
      <t>ニュウリョク</t>
    </rPh>
    <phoneticPr fontId="2"/>
  </si>
  <si>
    <t>設計室数入力　⇒</t>
    <rPh sb="0" eb="2">
      <t>セッケイ</t>
    </rPh>
    <rPh sb="2" eb="3">
      <t>シツ</t>
    </rPh>
    <rPh sb="3" eb="4">
      <t>スウ</t>
    </rPh>
    <rPh sb="4" eb="6">
      <t>ニュウリョク</t>
    </rPh>
    <phoneticPr fontId="2"/>
  </si>
  <si>
    <t>損失水頭の計算</t>
  </si>
  <si>
    <t>3.</t>
  </si>
  <si>
    <t>Ｓ</t>
    <phoneticPr fontId="2"/>
  </si>
  <si>
    <t>Ｒ</t>
    <phoneticPr fontId="2"/>
  </si>
  <si>
    <t>Q</t>
    <phoneticPr fontId="2"/>
  </si>
  <si>
    <t>P</t>
    <phoneticPr fontId="2"/>
  </si>
  <si>
    <t>O</t>
    <phoneticPr fontId="2"/>
  </si>
  <si>
    <t>N</t>
    <phoneticPr fontId="2"/>
  </si>
  <si>
    <t>M</t>
    <phoneticPr fontId="2"/>
  </si>
  <si>
    <t>L</t>
    <phoneticPr fontId="2"/>
  </si>
  <si>
    <t>K</t>
    <phoneticPr fontId="2"/>
  </si>
  <si>
    <r>
      <t>━</t>
    </r>
    <r>
      <rPr>
        <sz val="10"/>
        <rFont val="ＭＳ Ｐゴシック"/>
        <family val="3"/>
        <charset val="128"/>
      </rPr>
      <t>Ⓧ</t>
    </r>
    <r>
      <rPr>
        <b/>
        <sz val="14"/>
        <rFont val="ＭＳ Ｐゴシック"/>
        <family val="3"/>
        <charset val="128"/>
      </rPr>
      <t>Ⓜ</t>
    </r>
    <r>
      <rPr>
        <sz val="14"/>
        <rFont val="ＭＳ Ｐゴシック"/>
        <family val="3"/>
        <charset val="128"/>
      </rPr>
      <t>━</t>
    </r>
    <phoneticPr fontId="2"/>
  </si>
  <si>
    <t>BL基準１戸相当</t>
    <rPh sb="2" eb="4">
      <t>キジュン</t>
    </rPh>
    <rPh sb="5" eb="6">
      <t>コ</t>
    </rPh>
    <rPh sb="6" eb="8">
      <t>ソウトウ</t>
    </rPh>
    <phoneticPr fontId="2"/>
  </si>
  <si>
    <t>合計</t>
  </si>
  <si>
    <t>下限値8</t>
    <rPh sb="0" eb="3">
      <t>カゲンチ</t>
    </rPh>
    <phoneticPr fontId="2"/>
  </si>
  <si>
    <t>③</t>
    <phoneticPr fontId="2"/>
  </si>
  <si>
    <t>φ13器具標準</t>
    <rPh sb="3" eb="5">
      <t>キグ</t>
    </rPh>
    <rPh sb="5" eb="7">
      <t>ヒョウジュン</t>
    </rPh>
    <phoneticPr fontId="2"/>
  </si>
  <si>
    <t>洗濯流し</t>
    <rPh sb="0" eb="2">
      <t>センタク</t>
    </rPh>
    <rPh sb="2" eb="3">
      <t>ナガ</t>
    </rPh>
    <phoneticPr fontId="2"/>
  </si>
  <si>
    <t>②</t>
    <phoneticPr fontId="2"/>
  </si>
  <si>
    <t>Ⅰ</t>
    <phoneticPr fontId="2"/>
  </si>
  <si>
    <t>Ⅱ</t>
    <phoneticPr fontId="2"/>
  </si>
  <si>
    <t>Ⅲ</t>
    <phoneticPr fontId="2"/>
  </si>
  <si>
    <t xml:space="preserve"> Ｔ</t>
    <phoneticPr fontId="2"/>
  </si>
  <si>
    <t>①</t>
    <phoneticPr fontId="2"/>
  </si>
  <si>
    <t>　３号室</t>
    <rPh sb="2" eb="3">
      <t>ゴウ</t>
    </rPh>
    <rPh sb="3" eb="4">
      <t>シツ</t>
    </rPh>
    <phoneticPr fontId="2"/>
  </si>
  <si>
    <t>　５号室</t>
    <rPh sb="2" eb="3">
      <t>ゴウ</t>
    </rPh>
    <rPh sb="3" eb="4">
      <t>シツ</t>
    </rPh>
    <phoneticPr fontId="2"/>
  </si>
  <si>
    <t>　７号室</t>
    <rPh sb="2" eb="3">
      <t>ゴウ</t>
    </rPh>
    <rPh sb="3" eb="4">
      <t>シツ</t>
    </rPh>
    <phoneticPr fontId="2"/>
  </si>
  <si>
    <t>（ℓ/分）</t>
  </si>
  <si>
    <t>使用水量</t>
  </si>
  <si>
    <t>給水器具</t>
  </si>
  <si>
    <t>記号</t>
  </si>
  <si>
    <t>計画使用水量</t>
  </si>
  <si>
    <t>2.</t>
  </si>
  <si>
    <t>３栓使用の詳細</t>
    <rPh sb="1" eb="2">
      <t>セン</t>
    </rPh>
    <rPh sb="2" eb="4">
      <t>シヨウ</t>
    </rPh>
    <rPh sb="5" eb="7">
      <t>ショウサイ</t>
    </rPh>
    <phoneticPr fontId="2"/>
  </si>
  <si>
    <t>栓</t>
  </si>
  <si>
    <t>１室の同時使用 給水器具数</t>
    <rPh sb="1" eb="2">
      <t>シツ</t>
    </rPh>
    <phoneticPr fontId="2"/>
  </si>
  <si>
    <t>（最も遠い末端室）</t>
    <rPh sb="1" eb="2">
      <t>モット</t>
    </rPh>
    <rPh sb="3" eb="4">
      <t>トオ</t>
    </rPh>
    <rPh sb="5" eb="7">
      <t>マッタン</t>
    </rPh>
    <rPh sb="7" eb="8">
      <t>シツ</t>
    </rPh>
    <phoneticPr fontId="2"/>
  </si>
  <si>
    <t>１号室</t>
    <rPh sb="1" eb="3">
      <t>ゴウシツ</t>
    </rPh>
    <phoneticPr fontId="2"/>
  </si>
  <si>
    <t>ｍ</t>
  </si>
  <si>
    <t>設計水頭</t>
    <rPh sb="0" eb="2">
      <t>セッケイ</t>
    </rPh>
    <rPh sb="2" eb="4">
      <t>スイトウ</t>
    </rPh>
    <phoneticPr fontId="2"/>
  </si>
  <si>
    <r>
      <t>水理検討モデル　⇒　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　数値入力</t>
    </r>
    <rPh sb="0" eb="2">
      <t>スイリ</t>
    </rPh>
    <rPh sb="2" eb="4">
      <t>ケントウ</t>
    </rPh>
    <rPh sb="10" eb="12">
      <t>アカジ</t>
    </rPh>
    <rPh sb="13" eb="15">
      <t>スウチ</t>
    </rPh>
    <rPh sb="15" eb="17">
      <t>ニュウリョク</t>
    </rPh>
    <phoneticPr fontId="2"/>
  </si>
  <si>
    <t>計算条件</t>
  </si>
  <si>
    <t>1.</t>
  </si>
  <si>
    <r>
      <t>表と水理計算モデルの中の</t>
    </r>
    <r>
      <rPr>
        <sz val="10"/>
        <color rgb="FFFF0000"/>
        <rFont val="ＭＳ ゴシック"/>
        <family val="3"/>
        <charset val="128"/>
      </rPr>
      <t>赤文字</t>
    </r>
    <r>
      <rPr>
        <sz val="10"/>
        <rFont val="ＭＳ ゴシック"/>
        <family val="3"/>
        <charset val="128"/>
      </rPr>
      <t>と</t>
    </r>
    <r>
      <rPr>
        <sz val="10"/>
        <color rgb="FF0070C0"/>
        <rFont val="ＭＳ ゴシック"/>
        <family val="3"/>
        <charset val="128"/>
      </rPr>
      <t>青文字</t>
    </r>
    <r>
      <rPr>
        <sz val="10"/>
        <rFont val="ＭＳ ゴシック"/>
        <family val="3"/>
        <charset val="128"/>
      </rPr>
      <t>を入力すれば、計算結果・判定が表示されます</t>
    </r>
    <rPh sb="0" eb="1">
      <t>ヒョウ</t>
    </rPh>
    <rPh sb="2" eb="4">
      <t>スイリ</t>
    </rPh>
    <rPh sb="4" eb="6">
      <t>ケイサン</t>
    </rPh>
    <rPh sb="10" eb="11">
      <t>ナカ</t>
    </rPh>
    <rPh sb="12" eb="13">
      <t>アカ</t>
    </rPh>
    <rPh sb="13" eb="15">
      <t>モジ</t>
    </rPh>
    <rPh sb="16" eb="17">
      <t>アオ</t>
    </rPh>
    <rPh sb="17" eb="19">
      <t>モジ</t>
    </rPh>
    <rPh sb="20" eb="22">
      <t>ニュウリョク</t>
    </rPh>
    <rPh sb="26" eb="28">
      <t>ケイサン</t>
    </rPh>
    <rPh sb="28" eb="30">
      <t>ケッカ</t>
    </rPh>
    <rPh sb="31" eb="33">
      <t>ハンテイ</t>
    </rPh>
    <rPh sb="34" eb="36">
      <t>ヒョウジ</t>
    </rPh>
    <phoneticPr fontId="2"/>
  </si>
  <si>
    <t>※初期モデルでは１号室～１２号室の計画となっています</t>
    <rPh sb="1" eb="3">
      <t>ショキ</t>
    </rPh>
    <rPh sb="9" eb="11">
      <t>ゴウシツ</t>
    </rPh>
    <rPh sb="14" eb="16">
      <t>ゴウシツ</t>
    </rPh>
    <rPh sb="17" eb="19">
      <t>ケイカク</t>
    </rPh>
    <phoneticPr fontId="2"/>
  </si>
  <si>
    <t>1600</t>
    <phoneticPr fontId="2"/>
  </si>
  <si>
    <t>-</t>
  </si>
  <si>
    <t>0120</t>
    <phoneticPr fontId="2"/>
  </si>
  <si>
    <t>地区整理番号：</t>
  </si>
  <si>
    <t>舞鶴市清水町16-12</t>
    <rPh sb="0" eb="3">
      <t>マイヅルシ</t>
    </rPh>
    <rPh sb="3" eb="5">
      <t>シミズ</t>
    </rPh>
    <rPh sb="5" eb="6">
      <t>マチ</t>
    </rPh>
    <phoneticPr fontId="2"/>
  </si>
  <si>
    <t>設置場所　　：</t>
  </si>
  <si>
    <t>アパート　楽太郎</t>
    <rPh sb="5" eb="6">
      <t>ラク</t>
    </rPh>
    <rPh sb="6" eb="8">
      <t>タロウ</t>
    </rPh>
    <phoneticPr fontId="2"/>
  </si>
  <si>
    <t>申請者氏名　：</t>
  </si>
  <si>
    <t>給水計画　水理計算　（２階建アパート）</t>
    <rPh sb="12" eb="14">
      <t>カイダテ</t>
    </rPh>
    <phoneticPr fontId="2"/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</si>
</sst>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0.0000_ "/>
    <numFmt numFmtId="177" formatCode="0.00_ "/>
    <numFmt numFmtId="178" formatCode="0.0_ "/>
    <numFmt numFmtId="179" formatCode="0_ "/>
    <numFmt numFmtId="180" formatCode="_ * #,##0.00_ ;_ * \-#,##0.00_ ;_ * &quot;&quot;??_ ;_ @_ "/>
    <numFmt numFmtId="181" formatCode="#,###\ "/>
    <numFmt numFmtId="182" formatCode="#,###.0\ "/>
    <numFmt numFmtId="183" formatCode="#,##0.0&quot;m&quot;"/>
    <numFmt numFmtId="184" formatCode="&quot;φ&quot;##"/>
    <numFmt numFmtId="185" formatCode="#,##0\ &quot;ℓ/分&quot;"/>
    <numFmt numFmtId="186" formatCode="#,##0&quot;ℓ/分&quot;"/>
    <numFmt numFmtId="187" formatCode="\ #,##0&quot;戸対象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6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FF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double">
        <color indexed="64"/>
      </right>
      <top/>
      <bottom style="dotted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</borders>
  <cellStyleXfs count="1">
    <xf numFmtId="0" fontId="0" fillId="0" borderId="0"/>
  </cellStyleXfs>
  <cellXfs count="5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79" fontId="1" fillId="0" borderId="4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7" fontId="1" fillId="0" borderId="4" xfId="0" applyNumberFormat="1" applyFont="1" applyFill="1" applyBorder="1" applyAlignment="1">
      <alignment vertical="center"/>
    </xf>
    <xf numFmtId="178" fontId="1" fillId="0" borderId="4" xfId="0" applyNumberFormat="1" applyFont="1" applyFill="1" applyBorder="1" applyAlignment="1">
      <alignment vertical="center"/>
    </xf>
    <xf numFmtId="179" fontId="1" fillId="3" borderId="4" xfId="0" applyNumberFormat="1" applyFont="1" applyFill="1" applyBorder="1" applyAlignment="1">
      <alignment horizontal="center" vertical="center" shrinkToFit="1"/>
    </xf>
    <xf numFmtId="176" fontId="5" fillId="3" borderId="4" xfId="0" applyNumberFormat="1" applyFont="1" applyFill="1" applyBorder="1" applyAlignment="1">
      <alignment horizontal="right" vertical="center"/>
    </xf>
    <xf numFmtId="179" fontId="1" fillId="4" borderId="4" xfId="0" applyNumberFormat="1" applyFont="1" applyFill="1" applyBorder="1" applyAlignment="1">
      <alignment horizontal="center" vertical="center" shrinkToFit="1"/>
    </xf>
    <xf numFmtId="176" fontId="5" fillId="4" borderId="4" xfId="0" applyNumberFormat="1" applyFont="1" applyFill="1" applyBorder="1" applyAlignment="1">
      <alignment horizontal="right" vertical="center"/>
    </xf>
    <xf numFmtId="179" fontId="1" fillId="5" borderId="4" xfId="0" applyNumberFormat="1" applyFont="1" applyFill="1" applyBorder="1" applyAlignment="1">
      <alignment horizontal="center" vertical="center" shrinkToFit="1"/>
    </xf>
    <xf numFmtId="176" fontId="5" fillId="5" borderId="4" xfId="0" applyNumberFormat="1" applyFont="1" applyFill="1" applyBorder="1" applyAlignment="1">
      <alignment horizontal="right" vertical="center"/>
    </xf>
    <xf numFmtId="177" fontId="1" fillId="3" borderId="4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5" borderId="4" xfId="0" applyNumberFormat="1" applyFont="1" applyFill="1" applyBorder="1" applyAlignment="1">
      <alignment vertical="center"/>
    </xf>
    <xf numFmtId="176" fontId="5" fillId="3" borderId="9" xfId="0" applyNumberFormat="1" applyFont="1" applyFill="1" applyBorder="1" applyAlignment="1">
      <alignment horizontal="right" vertical="center"/>
    </xf>
    <xf numFmtId="176" fontId="5" fillId="4" borderId="9" xfId="0" applyNumberFormat="1" applyFont="1" applyFill="1" applyBorder="1" applyAlignment="1">
      <alignment horizontal="right" vertical="center"/>
    </xf>
    <xf numFmtId="176" fontId="5" fillId="5" borderId="9" xfId="0" applyNumberFormat="1" applyFont="1" applyFill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9" fontId="1" fillId="2" borderId="4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7" fontId="1" fillId="2" borderId="4" xfId="0" applyNumberFormat="1" applyFont="1" applyFill="1" applyBorder="1" applyAlignment="1">
      <alignment vertical="center"/>
    </xf>
    <xf numFmtId="177" fontId="1" fillId="7" borderId="4" xfId="0" applyNumberFormat="1" applyFont="1" applyFill="1" applyBorder="1" applyAlignment="1">
      <alignment vertical="center"/>
    </xf>
    <xf numFmtId="179" fontId="1" fillId="7" borderId="4" xfId="0" applyNumberFormat="1" applyFont="1" applyFill="1" applyBorder="1" applyAlignment="1">
      <alignment horizontal="center" vertical="center" shrinkToFit="1"/>
    </xf>
    <xf numFmtId="176" fontId="5" fillId="7" borderId="4" xfId="0" applyNumberFormat="1" applyFont="1" applyFill="1" applyBorder="1" applyAlignment="1">
      <alignment horizontal="right" vertical="center"/>
    </xf>
    <xf numFmtId="176" fontId="5" fillId="7" borderId="9" xfId="0" applyNumberFormat="1" applyFont="1" applyFill="1" applyBorder="1" applyAlignment="1">
      <alignment horizontal="right" vertical="center"/>
    </xf>
    <xf numFmtId="178" fontId="1" fillId="3" borderId="4" xfId="0" applyNumberFormat="1" applyFont="1" applyFill="1" applyBorder="1" applyAlignment="1">
      <alignment vertical="center" shrinkToFit="1"/>
    </xf>
    <xf numFmtId="178" fontId="1" fillId="4" borderId="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8" fontId="1" fillId="5" borderId="4" xfId="0" applyNumberFormat="1" applyFont="1" applyFill="1" applyBorder="1" applyAlignment="1">
      <alignment vertical="center" shrinkToFit="1"/>
    </xf>
    <xf numFmtId="178" fontId="1" fillId="7" borderId="4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178" fontId="6" fillId="0" borderId="4" xfId="0" applyNumberFormat="1" applyFont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177" fontId="7" fillId="3" borderId="4" xfId="0" applyNumberFormat="1" applyFont="1" applyFill="1" applyBorder="1" applyAlignment="1">
      <alignment horizontal="right" vertical="center"/>
    </xf>
    <xf numFmtId="177" fontId="7" fillId="4" borderId="4" xfId="0" applyNumberFormat="1" applyFont="1" applyFill="1" applyBorder="1" applyAlignment="1">
      <alignment horizontal="right" vertical="center"/>
    </xf>
    <xf numFmtId="177" fontId="7" fillId="2" borderId="4" xfId="0" applyNumberFormat="1" applyFont="1" applyFill="1" applyBorder="1" applyAlignment="1">
      <alignment horizontal="right" vertical="center"/>
    </xf>
    <xf numFmtId="177" fontId="7" fillId="5" borderId="4" xfId="0" applyNumberFormat="1" applyFont="1" applyFill="1" applyBorder="1" applyAlignment="1">
      <alignment horizontal="right" vertical="center"/>
    </xf>
    <xf numFmtId="177" fontId="7" fillId="7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77" fontId="0" fillId="3" borderId="4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177" fontId="0" fillId="10" borderId="4" xfId="0" applyNumberFormat="1" applyFont="1" applyFill="1" applyBorder="1" applyAlignment="1">
      <alignment vertical="center"/>
    </xf>
    <xf numFmtId="177" fontId="0" fillId="8" borderId="4" xfId="0" applyNumberFormat="1" applyFont="1" applyFill="1" applyBorder="1" applyAlignment="1">
      <alignment vertical="center"/>
    </xf>
    <xf numFmtId="177" fontId="0" fillId="11" borderId="4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32" xfId="0" applyFill="1" applyBorder="1" applyAlignment="1">
      <alignment horizontal="left" vertical="center"/>
    </xf>
    <xf numFmtId="178" fontId="1" fillId="0" borderId="14" xfId="0" applyNumberFormat="1" applyFont="1" applyFill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3" borderId="38" xfId="0" applyNumberFormat="1" applyFont="1" applyFill="1" applyBorder="1" applyAlignment="1">
      <alignment horizontal="right" vertical="center" shrinkToFit="1"/>
    </xf>
    <xf numFmtId="0" fontId="0" fillId="4" borderId="32" xfId="0" applyFill="1" applyBorder="1" applyAlignment="1">
      <alignment horizontal="center" vertical="center"/>
    </xf>
    <xf numFmtId="177" fontId="0" fillId="4" borderId="38" xfId="0" applyNumberFormat="1" applyFont="1" applyFill="1" applyBorder="1" applyAlignment="1">
      <alignment horizontal="right" vertical="center" shrinkToFit="1"/>
    </xf>
    <xf numFmtId="177" fontId="0" fillId="2" borderId="38" xfId="0" applyNumberFormat="1" applyFont="1" applyFill="1" applyBorder="1" applyAlignment="1">
      <alignment horizontal="right" vertical="center" shrinkToFit="1"/>
    </xf>
    <xf numFmtId="177" fontId="0" fillId="5" borderId="38" xfId="0" applyNumberFormat="1" applyFont="1" applyFill="1" applyBorder="1" applyAlignment="1">
      <alignment horizontal="right" vertical="center" shrinkToFit="1"/>
    </xf>
    <xf numFmtId="0" fontId="0" fillId="7" borderId="32" xfId="0" applyFill="1" applyBorder="1" applyAlignment="1">
      <alignment horizontal="center" vertical="center"/>
    </xf>
    <xf numFmtId="177" fontId="0" fillId="7" borderId="38" xfId="0" applyNumberFormat="1" applyFont="1" applyFill="1" applyBorder="1" applyAlignment="1">
      <alignment horizontal="right" vertical="center" shrinkToFit="1"/>
    </xf>
    <xf numFmtId="179" fontId="1" fillId="0" borderId="18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0" fontId="0" fillId="15" borderId="30" xfId="0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30" xfId="0" applyFill="1" applyBorder="1" applyAlignment="1">
      <alignment horizontal="left" vertical="center"/>
    </xf>
    <xf numFmtId="0" fontId="0" fillId="15" borderId="0" xfId="0" applyFill="1" applyBorder="1" applyAlignment="1">
      <alignment horizontal="lef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181" fontId="0" fillId="0" borderId="4" xfId="0" applyNumberFormat="1" applyFont="1" applyBorder="1" applyAlignment="1">
      <alignment horizontal="right" vertical="center"/>
    </xf>
    <xf numFmtId="180" fontId="0" fillId="6" borderId="4" xfId="0" applyNumberFormat="1" applyFont="1" applyFill="1" applyBorder="1" applyAlignment="1">
      <alignment horizontal="right" vertical="center"/>
    </xf>
    <xf numFmtId="180" fontId="0" fillId="0" borderId="4" xfId="0" applyNumberFormat="1" applyFont="1" applyBorder="1" applyAlignment="1">
      <alignment horizontal="right" vertical="center"/>
    </xf>
    <xf numFmtId="181" fontId="0" fillId="0" borderId="2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1" fontId="0" fillId="0" borderId="8" xfId="0" applyNumberFormat="1" applyFont="1" applyBorder="1" applyAlignment="1">
      <alignment horizontal="right" vertical="center"/>
    </xf>
    <xf numFmtId="180" fontId="0" fillId="0" borderId="8" xfId="0" applyNumberFormat="1" applyFont="1" applyBorder="1" applyAlignment="1">
      <alignment horizontal="right" vertical="center"/>
    </xf>
    <xf numFmtId="181" fontId="0" fillId="0" borderId="3" xfId="0" applyNumberFormat="1" applyFont="1" applyBorder="1" applyAlignment="1">
      <alignment horizontal="right" vertical="center"/>
    </xf>
    <xf numFmtId="180" fontId="0" fillId="6" borderId="3" xfId="0" applyNumberFormat="1" applyFont="1" applyFill="1" applyBorder="1" applyAlignment="1">
      <alignment horizontal="right" vertical="center"/>
    </xf>
    <xf numFmtId="180" fontId="0" fillId="0" borderId="3" xfId="0" applyNumberFormat="1" applyFont="1" applyBorder="1" applyAlignment="1">
      <alignment horizontal="right" vertical="center"/>
    </xf>
    <xf numFmtId="180" fontId="0" fillId="0" borderId="4" xfId="0" applyNumberFormat="1" applyFont="1" applyFill="1" applyBorder="1" applyAlignment="1">
      <alignment horizontal="right" vertical="center"/>
    </xf>
    <xf numFmtId="181" fontId="0" fillId="0" borderId="21" xfId="0" applyNumberFormat="1" applyFont="1" applyBorder="1" applyAlignment="1">
      <alignment horizontal="right" vertical="center"/>
    </xf>
    <xf numFmtId="180" fontId="0" fillId="6" borderId="8" xfId="0" applyNumberFormat="1" applyFont="1" applyFill="1" applyBorder="1" applyAlignment="1">
      <alignment horizontal="right" vertical="center"/>
    </xf>
    <xf numFmtId="181" fontId="0" fillId="0" borderId="41" xfId="0" applyNumberFormat="1" applyFont="1" applyBorder="1" applyAlignment="1">
      <alignment horizontal="right" vertical="center"/>
    </xf>
    <xf numFmtId="180" fontId="0" fillId="0" borderId="41" xfId="0" applyNumberFormat="1" applyFont="1" applyBorder="1" applyAlignment="1">
      <alignment horizontal="right" vertical="center"/>
    </xf>
    <xf numFmtId="177" fontId="0" fillId="0" borderId="38" xfId="0" applyNumberFormat="1" applyFont="1" applyFill="1" applyBorder="1" applyAlignment="1">
      <alignment horizontal="right" vertical="center" shrinkToFit="1"/>
    </xf>
    <xf numFmtId="177" fontId="0" fillId="0" borderId="40" xfId="0" applyNumberFormat="1" applyFont="1" applyFill="1" applyBorder="1" applyAlignment="1">
      <alignment horizontal="right" vertical="center" shrinkToFit="1"/>
    </xf>
    <xf numFmtId="180" fontId="0" fillId="0" borderId="11" xfId="0" applyNumberFormat="1" applyBorder="1" applyAlignment="1">
      <alignment horizontal="center" vertical="center"/>
    </xf>
    <xf numFmtId="180" fontId="8" fillId="0" borderId="4" xfId="0" quotePrefix="1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80" fontId="0" fillId="0" borderId="14" xfId="0" applyNumberFormat="1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180" fontId="0" fillId="0" borderId="45" xfId="0" applyNumberFormat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180" fontId="0" fillId="0" borderId="13" xfId="0" applyNumberFormat="1" applyFon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180" fontId="0" fillId="0" borderId="16" xfId="0" applyNumberFormat="1" applyFont="1" applyBorder="1" applyAlignment="1">
      <alignment horizontal="right" vertical="center"/>
    </xf>
    <xf numFmtId="180" fontId="0" fillId="0" borderId="45" xfId="0" applyNumberFormat="1" applyFont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180" fontId="0" fillId="0" borderId="22" xfId="0" applyNumberFormat="1" applyFont="1" applyBorder="1" applyAlignment="1">
      <alignment horizontal="right" vertical="center"/>
    </xf>
    <xf numFmtId="180" fontId="0" fillId="0" borderId="49" xfId="0" applyNumberFormat="1" applyFont="1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180" fontId="0" fillId="0" borderId="51" xfId="0" applyNumberFormat="1" applyBorder="1" applyAlignment="1">
      <alignment horizontal="center" vertical="center"/>
    </xf>
    <xf numFmtId="180" fontId="8" fillId="0" borderId="18" xfId="0" quotePrefix="1" applyNumberFormat="1" applyFont="1" applyBorder="1" applyAlignment="1">
      <alignment horizontal="center" vertical="center"/>
    </xf>
    <xf numFmtId="181" fontId="0" fillId="15" borderId="0" xfId="0" applyNumberFormat="1" applyFont="1" applyFill="1" applyBorder="1" applyAlignment="1">
      <alignment horizontal="right" vertical="center"/>
    </xf>
    <xf numFmtId="180" fontId="0" fillId="15" borderId="0" xfId="0" applyNumberFormat="1" applyFont="1" applyFill="1" applyBorder="1" applyAlignment="1">
      <alignment vertical="center"/>
    </xf>
    <xf numFmtId="180" fontId="0" fillId="15" borderId="42" xfId="0" applyNumberFormat="1" applyFont="1" applyFill="1" applyBorder="1" applyAlignment="1">
      <alignment vertical="center"/>
    </xf>
    <xf numFmtId="180" fontId="0" fillId="15" borderId="0" xfId="0" applyNumberFormat="1" applyFont="1" applyFill="1" applyBorder="1" applyAlignment="1">
      <alignment horizontal="right" vertical="center"/>
    </xf>
    <xf numFmtId="180" fontId="0" fillId="15" borderId="34" xfId="0" applyNumberFormat="1" applyFont="1" applyFill="1" applyBorder="1" applyAlignment="1">
      <alignment vertical="center"/>
    </xf>
    <xf numFmtId="180" fontId="0" fillId="0" borderId="30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8" fillId="0" borderId="30" xfId="0" applyFont="1" applyFill="1" applyBorder="1" applyAlignment="1">
      <alignment horizontal="right" vertical="center"/>
    </xf>
    <xf numFmtId="178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0" fontId="0" fillId="0" borderId="12" xfId="0" applyBorder="1" applyAlignment="1">
      <alignment horizontal="right" vertical="center"/>
    </xf>
    <xf numFmtId="178" fontId="10" fillId="0" borderId="20" xfId="0" applyNumberFormat="1" applyFont="1" applyBorder="1" applyAlignment="1">
      <alignment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/>
    <xf numFmtId="0" fontId="10" fillId="0" borderId="30" xfId="0" applyFont="1" applyFill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43" fontId="10" fillId="0" borderId="4" xfId="0" applyNumberFormat="1" applyFont="1" applyBorder="1" applyAlignment="1">
      <alignment vertical="center"/>
    </xf>
    <xf numFmtId="180" fontId="10" fillId="0" borderId="14" xfId="0" applyNumberFormat="1" applyFont="1" applyBorder="1" applyAlignment="1">
      <alignment horizontal="center" vertical="center"/>
    </xf>
    <xf numFmtId="43" fontId="10" fillId="0" borderId="18" xfId="0" applyNumberFormat="1" applyFont="1" applyBorder="1" applyAlignment="1">
      <alignment vertical="center"/>
    </xf>
    <xf numFmtId="180" fontId="10" fillId="0" borderId="19" xfId="0" applyNumberFormat="1" applyFont="1" applyBorder="1" applyAlignment="1">
      <alignment horizontal="center" vertical="center"/>
    </xf>
    <xf numFmtId="180" fontId="10" fillId="0" borderId="9" xfId="0" applyNumberFormat="1" applyFont="1" applyBorder="1" applyAlignment="1">
      <alignment horizontal="right" vertical="center"/>
    </xf>
    <xf numFmtId="180" fontId="10" fillId="0" borderId="39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7" fontId="1" fillId="13" borderId="4" xfId="0" applyNumberFormat="1" applyFont="1" applyFill="1" applyBorder="1" applyAlignment="1">
      <alignment vertical="center"/>
    </xf>
    <xf numFmtId="178" fontId="1" fillId="13" borderId="4" xfId="0" applyNumberFormat="1" applyFont="1" applyFill="1" applyBorder="1" applyAlignment="1">
      <alignment vertical="center" shrinkToFit="1"/>
    </xf>
    <xf numFmtId="178" fontId="1" fillId="14" borderId="4" xfId="0" applyNumberFormat="1" applyFont="1" applyFill="1" applyBorder="1" applyAlignment="1">
      <alignment vertical="center" shrinkToFit="1"/>
    </xf>
    <xf numFmtId="177" fontId="1" fillId="16" borderId="4" xfId="0" applyNumberFormat="1" applyFont="1" applyFill="1" applyBorder="1" applyAlignment="1">
      <alignment vertical="center"/>
    </xf>
    <xf numFmtId="178" fontId="1" fillId="16" borderId="4" xfId="0" applyNumberFormat="1" applyFont="1" applyFill="1" applyBorder="1" applyAlignment="1">
      <alignment vertical="center" shrinkToFit="1"/>
    </xf>
    <xf numFmtId="0" fontId="0" fillId="16" borderId="10" xfId="0" applyFill="1" applyBorder="1" applyAlignment="1">
      <alignment horizontal="center" vertical="center"/>
    </xf>
    <xf numFmtId="179" fontId="1" fillId="16" borderId="4" xfId="0" applyNumberFormat="1" applyFont="1" applyFill="1" applyBorder="1" applyAlignment="1">
      <alignment horizontal="center" vertical="center" shrinkToFit="1"/>
    </xf>
    <xf numFmtId="176" fontId="5" fillId="16" borderId="4" xfId="0" applyNumberFormat="1" applyFont="1" applyFill="1" applyBorder="1" applyAlignment="1">
      <alignment horizontal="right" vertical="center"/>
    </xf>
    <xf numFmtId="177" fontId="7" fillId="16" borderId="4" xfId="0" applyNumberFormat="1" applyFont="1" applyFill="1" applyBorder="1" applyAlignment="1">
      <alignment horizontal="right" vertical="center"/>
    </xf>
    <xf numFmtId="176" fontId="5" fillId="16" borderId="9" xfId="0" applyNumberFormat="1" applyFont="1" applyFill="1" applyBorder="1" applyAlignment="1">
      <alignment horizontal="right" vertical="center"/>
    </xf>
    <xf numFmtId="177" fontId="0" fillId="16" borderId="38" xfId="0" applyNumberFormat="1" applyFont="1" applyFill="1" applyBorder="1" applyAlignment="1">
      <alignment horizontal="right" vertical="center" shrinkToFit="1"/>
    </xf>
    <xf numFmtId="0" fontId="0" fillId="13" borderId="10" xfId="0" applyFill="1" applyBorder="1" applyAlignment="1">
      <alignment horizontal="center" vertical="center"/>
    </xf>
    <xf numFmtId="179" fontId="1" fillId="13" borderId="4" xfId="0" applyNumberFormat="1" applyFont="1" applyFill="1" applyBorder="1" applyAlignment="1">
      <alignment horizontal="center" vertical="center" shrinkToFit="1"/>
    </xf>
    <xf numFmtId="176" fontId="5" fillId="13" borderId="4" xfId="0" applyNumberFormat="1" applyFont="1" applyFill="1" applyBorder="1" applyAlignment="1">
      <alignment horizontal="right" vertical="center"/>
    </xf>
    <xf numFmtId="177" fontId="7" fillId="13" borderId="4" xfId="0" applyNumberFormat="1" applyFont="1" applyFill="1" applyBorder="1" applyAlignment="1">
      <alignment horizontal="right" vertical="center"/>
    </xf>
    <xf numFmtId="176" fontId="5" fillId="13" borderId="9" xfId="0" applyNumberFormat="1" applyFont="1" applyFill="1" applyBorder="1" applyAlignment="1">
      <alignment horizontal="right" vertical="center"/>
    </xf>
    <xf numFmtId="177" fontId="0" fillId="13" borderId="38" xfId="0" applyNumberFormat="1" applyFont="1" applyFill="1" applyBorder="1" applyAlignment="1">
      <alignment horizontal="right" vertical="center" shrinkToFit="1"/>
    </xf>
    <xf numFmtId="0" fontId="0" fillId="14" borderId="10" xfId="0" applyFill="1" applyBorder="1" applyAlignment="1">
      <alignment horizontal="center" vertical="center"/>
    </xf>
    <xf numFmtId="179" fontId="1" fillId="14" borderId="4" xfId="0" applyNumberFormat="1" applyFont="1" applyFill="1" applyBorder="1" applyAlignment="1">
      <alignment horizontal="center" vertical="center" shrinkToFit="1"/>
    </xf>
    <xf numFmtId="176" fontId="5" fillId="14" borderId="4" xfId="0" applyNumberFormat="1" applyFont="1" applyFill="1" applyBorder="1" applyAlignment="1">
      <alignment horizontal="right" vertical="center"/>
    </xf>
    <xf numFmtId="177" fontId="7" fillId="14" borderId="4" xfId="0" applyNumberFormat="1" applyFont="1" applyFill="1" applyBorder="1" applyAlignment="1">
      <alignment horizontal="right" vertical="center"/>
    </xf>
    <xf numFmtId="176" fontId="5" fillId="14" borderId="9" xfId="0" applyNumberFormat="1" applyFont="1" applyFill="1" applyBorder="1" applyAlignment="1">
      <alignment horizontal="right" vertical="center"/>
    </xf>
    <xf numFmtId="177" fontId="0" fillId="14" borderId="38" xfId="0" applyNumberFormat="1" applyFont="1" applyFill="1" applyBorder="1" applyAlignment="1">
      <alignment horizontal="right" vertical="center" shrinkToFit="1"/>
    </xf>
    <xf numFmtId="0" fontId="0" fillId="8" borderId="32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79" fontId="1" fillId="8" borderId="4" xfId="0" applyNumberFormat="1" applyFont="1" applyFill="1" applyBorder="1" applyAlignment="1">
      <alignment horizontal="center" vertical="center" shrinkToFit="1"/>
    </xf>
    <xf numFmtId="176" fontId="5" fillId="8" borderId="4" xfId="0" applyNumberFormat="1" applyFont="1" applyFill="1" applyBorder="1" applyAlignment="1">
      <alignment horizontal="right" vertical="center"/>
    </xf>
    <xf numFmtId="177" fontId="7" fillId="8" borderId="4" xfId="0" applyNumberFormat="1" applyFont="1" applyFill="1" applyBorder="1" applyAlignment="1">
      <alignment horizontal="right" vertical="center"/>
    </xf>
    <xf numFmtId="176" fontId="5" fillId="8" borderId="9" xfId="0" applyNumberFormat="1" applyFont="1" applyFill="1" applyBorder="1" applyAlignment="1">
      <alignment horizontal="right" vertical="center"/>
    </xf>
    <xf numFmtId="177" fontId="0" fillId="8" borderId="38" xfId="0" applyNumberFormat="1" applyFont="1" applyFill="1" applyBorder="1" applyAlignment="1">
      <alignment horizontal="right" vertical="center" shrinkToFit="1"/>
    </xf>
    <xf numFmtId="178" fontId="1" fillId="17" borderId="4" xfId="0" applyNumberFormat="1" applyFont="1" applyFill="1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179" fontId="1" fillId="0" borderId="54" xfId="0" applyNumberFormat="1" applyFont="1" applyBorder="1" applyAlignment="1">
      <alignment horizontal="center" vertical="center" shrinkToFit="1"/>
    </xf>
    <xf numFmtId="176" fontId="5" fillId="0" borderId="54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177" fontId="0" fillId="0" borderId="54" xfId="0" applyNumberFormat="1" applyFont="1" applyFill="1" applyBorder="1" applyAlignment="1">
      <alignment horizontal="right" vertical="center" shrinkToFit="1"/>
    </xf>
    <xf numFmtId="0" fontId="0" fillId="0" borderId="3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181" fontId="0" fillId="0" borderId="56" xfId="0" applyNumberFormat="1" applyFont="1" applyBorder="1" applyAlignment="1">
      <alignment horizontal="right" vertical="center"/>
    </xf>
    <xf numFmtId="180" fontId="0" fillId="0" borderId="56" xfId="0" applyNumberFormat="1" applyFont="1" applyBorder="1" applyAlignment="1">
      <alignment horizontal="right" vertical="center"/>
    </xf>
    <xf numFmtId="180" fontId="0" fillId="0" borderId="57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180" fontId="0" fillId="0" borderId="49" xfId="0" applyNumberFormat="1" applyBorder="1" applyAlignment="1">
      <alignment horizontal="right" vertical="center"/>
    </xf>
    <xf numFmtId="0" fontId="0" fillId="4" borderId="32" xfId="0" applyFill="1" applyBorder="1" applyAlignment="1">
      <alignment horizontal="right" vertical="center"/>
    </xf>
    <xf numFmtId="0" fontId="0" fillId="4" borderId="10" xfId="0" applyFill="1" applyBorder="1" applyAlignment="1">
      <alignment horizontal="right" vertical="center"/>
    </xf>
    <xf numFmtId="0" fontId="0" fillId="3" borderId="32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14" borderId="32" xfId="0" applyFill="1" applyBorder="1" applyAlignment="1">
      <alignment horizontal="left" vertical="center"/>
    </xf>
    <xf numFmtId="0" fontId="0" fillId="13" borderId="32" xfId="0" applyFill="1" applyBorder="1" applyAlignment="1">
      <alignment horizontal="left" vertical="center"/>
    </xf>
    <xf numFmtId="0" fontId="0" fillId="16" borderId="32" xfId="0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Alignment="1">
      <alignment vertical="center" shrinkToFit="1"/>
    </xf>
    <xf numFmtId="180" fontId="16" fillId="0" borderId="0" xfId="0" applyNumberFormat="1" applyFont="1" applyAlignment="1">
      <alignment vertical="center"/>
    </xf>
    <xf numFmtId="180" fontId="16" fillId="0" borderId="0" xfId="0" applyNumberFormat="1" applyFont="1" applyBorder="1" applyAlignment="1">
      <alignment horizontal="right" vertical="center"/>
    </xf>
    <xf numFmtId="180" fontId="0" fillId="0" borderId="0" xfId="0" applyNumberFormat="1" applyAlignment="1">
      <alignment vertical="center"/>
    </xf>
    <xf numFmtId="181" fontId="0" fillId="0" borderId="0" xfId="0" applyNumberFormat="1" applyAlignment="1">
      <alignment horizontal="right" vertical="center"/>
    </xf>
    <xf numFmtId="4" fontId="0" fillId="0" borderId="59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 applyAlignment="1">
      <alignment horizontal="center" vertical="center"/>
    </xf>
    <xf numFmtId="4" fontId="0" fillId="0" borderId="61" xfId="0" applyNumberFormat="1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180" fontId="16" fillId="0" borderId="0" xfId="0" applyNumberFormat="1" applyFont="1" applyBorder="1" applyAlignment="1">
      <alignment horizontal="center" vertical="center"/>
    </xf>
    <xf numFmtId="4" fontId="0" fillId="0" borderId="63" xfId="0" applyNumberFormat="1" applyFont="1" applyFill="1" applyBorder="1" applyAlignment="1">
      <alignment horizontal="center" vertical="center"/>
    </xf>
    <xf numFmtId="4" fontId="0" fillId="0" borderId="64" xfId="0" applyNumberFormat="1" applyFont="1" applyFill="1" applyBorder="1" applyAlignment="1">
      <alignment horizontal="center" vertical="center"/>
    </xf>
    <xf numFmtId="4" fontId="0" fillId="0" borderId="65" xfId="0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4" xfId="0" applyNumberFormat="1" applyFont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180" fontId="10" fillId="0" borderId="0" xfId="0" applyNumberFormat="1" applyFont="1" applyAlignmen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4" xfId="0" applyNumberFormat="1" applyFont="1" applyBorder="1" applyAlignment="1">
      <alignment horizontal="center" vertical="center"/>
    </xf>
    <xf numFmtId="180" fontId="0" fillId="0" borderId="0" xfId="0" applyNumberForma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181" fontId="0" fillId="0" borderId="26" xfId="0" applyNumberFormat="1" applyFont="1" applyBorder="1" applyAlignment="1">
      <alignment horizontal="right" vertical="center"/>
    </xf>
    <xf numFmtId="181" fontId="17" fillId="0" borderId="26" xfId="0" applyNumberFormat="1" applyFont="1" applyBorder="1" applyAlignment="1">
      <alignment horizontal="right" vertical="center"/>
    </xf>
    <xf numFmtId="182" fontId="17" fillId="0" borderId="9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80" fontId="0" fillId="0" borderId="10" xfId="0" quotePrefix="1" applyNumberFormat="1" applyFont="1" applyBorder="1" applyAlignment="1">
      <alignment vertical="center"/>
    </xf>
    <xf numFmtId="180" fontId="0" fillId="0" borderId="26" xfId="0" applyNumberFormat="1" applyFont="1" applyBorder="1" applyAlignment="1">
      <alignment horizontal="center" vertical="center"/>
    </xf>
    <xf numFmtId="180" fontId="0" fillId="0" borderId="9" xfId="0" applyNumberFormat="1" applyFont="1" applyBorder="1" applyAlignment="1">
      <alignment vertical="center"/>
    </xf>
    <xf numFmtId="180" fontId="17" fillId="0" borderId="10" xfId="0" applyNumberFormat="1" applyFont="1" applyBorder="1" applyAlignment="1">
      <alignment horizontal="right" vertical="center"/>
    </xf>
    <xf numFmtId="182" fontId="0" fillId="0" borderId="9" xfId="0" applyNumberFormat="1" applyFont="1" applyBorder="1" applyAlignment="1">
      <alignment horizontal="left" vertical="center"/>
    </xf>
    <xf numFmtId="180" fontId="0" fillId="0" borderId="41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right" vertical="center"/>
    </xf>
    <xf numFmtId="0" fontId="0" fillId="0" borderId="42" xfId="0" applyFont="1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180" fontId="17" fillId="0" borderId="8" xfId="0" applyNumberFormat="1" applyFont="1" applyBorder="1" applyAlignment="1">
      <alignment horizontal="right" vertical="center"/>
    </xf>
    <xf numFmtId="180" fontId="18" fillId="0" borderId="8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80" fontId="18" fillId="0" borderId="4" xfId="0" applyNumberFormat="1" applyFont="1" applyBorder="1" applyAlignment="1">
      <alignment horizontal="center" vertical="center"/>
    </xf>
    <xf numFmtId="180" fontId="17" fillId="0" borderId="4" xfId="0" applyNumberFormat="1" applyFont="1" applyBorder="1" applyAlignment="1">
      <alignment horizontal="right" vertical="center"/>
    </xf>
    <xf numFmtId="180" fontId="18" fillId="0" borderId="4" xfId="0" applyNumberFormat="1" applyFont="1" applyFill="1" applyBorder="1" applyAlignment="1">
      <alignment horizontal="right" vertical="center"/>
    </xf>
    <xf numFmtId="180" fontId="0" fillId="0" borderId="4" xfId="0" applyNumberFormat="1" applyFont="1" applyBorder="1" applyAlignment="1">
      <alignment horizontal="left" vertical="center"/>
    </xf>
    <xf numFmtId="181" fontId="6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183" fontId="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83" fontId="6" fillId="0" borderId="4" xfId="0" applyNumberFormat="1" applyFont="1" applyBorder="1" applyAlignment="1">
      <alignment horizontal="center" vertical="center"/>
    </xf>
    <xf numFmtId="183" fontId="6" fillId="0" borderId="4" xfId="0" applyNumberFormat="1" applyFont="1" applyBorder="1" applyAlignment="1">
      <alignment vertical="center"/>
    </xf>
    <xf numFmtId="184" fontId="6" fillId="0" borderId="0" xfId="0" applyNumberFormat="1" applyFont="1" applyAlignment="1">
      <alignment horizontal="right" vertical="center"/>
    </xf>
    <xf numFmtId="183" fontId="1" fillId="0" borderId="0" xfId="0" applyNumberFormat="1" applyFont="1" applyAlignment="1">
      <alignment horizontal="center" vertical="top"/>
    </xf>
    <xf numFmtId="184" fontId="6" fillId="0" borderId="4" xfId="0" applyNumberFormat="1" applyFont="1" applyBorder="1" applyAlignment="1">
      <alignment horizontal="center" vertical="center"/>
    </xf>
    <xf numFmtId="184" fontId="6" fillId="0" borderId="4" xfId="0" applyNumberFormat="1" applyFont="1" applyBorder="1" applyAlignment="1">
      <alignment vertical="center"/>
    </xf>
    <xf numFmtId="184" fontId="6" fillId="0" borderId="0" xfId="0" applyNumberFormat="1" applyFont="1" applyAlignment="1">
      <alignment horizontal="center" vertical="center"/>
    </xf>
    <xf numFmtId="185" fontId="0" fillId="0" borderId="8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textRotation="90"/>
    </xf>
    <xf numFmtId="0" fontId="4" fillId="0" borderId="25" xfId="0" applyFont="1" applyBorder="1" applyAlignment="1">
      <alignment vertical="center" textRotation="90"/>
    </xf>
    <xf numFmtId="186" fontId="0" fillId="0" borderId="4" xfId="0" applyNumberFormat="1" applyFont="1" applyFill="1" applyBorder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180" fontId="0" fillId="0" borderId="3" xfId="0" applyNumberFormat="1" applyFont="1" applyBorder="1" applyAlignment="1">
      <alignment horizontal="left" vertical="center"/>
    </xf>
    <xf numFmtId="180" fontId="17" fillId="0" borderId="3" xfId="0" applyNumberFormat="1" applyFont="1" applyBorder="1" applyAlignment="1">
      <alignment horizontal="right" vertical="center"/>
    </xf>
    <xf numFmtId="187" fontId="6" fillId="0" borderId="4" xfId="0" applyNumberFormat="1" applyFont="1" applyBorder="1" applyAlignment="1">
      <alignment vertical="center" shrinkToFit="1"/>
    </xf>
    <xf numFmtId="187" fontId="6" fillId="0" borderId="10" xfId="0" applyNumberFormat="1" applyFont="1" applyBorder="1" applyAlignment="1">
      <alignment vertical="center" shrinkToFit="1"/>
    </xf>
    <xf numFmtId="183" fontId="6" fillId="0" borderId="85" xfId="0" applyNumberFormat="1" applyFont="1" applyBorder="1" applyAlignment="1">
      <alignment horizontal="center" vertical="center"/>
    </xf>
    <xf numFmtId="180" fontId="0" fillId="0" borderId="8" xfId="0" applyNumberFormat="1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88" xfId="0" applyBorder="1" applyAlignment="1">
      <alignment vertical="center" shrinkToFit="1"/>
    </xf>
    <xf numFmtId="183" fontId="0" fillId="0" borderId="87" xfId="0" applyNumberFormat="1" applyFont="1" applyBorder="1" applyAlignment="1">
      <alignment horizontal="center" vertical="center" wrapText="1" shrinkToFit="1"/>
    </xf>
    <xf numFmtId="183" fontId="0" fillId="0" borderId="89" xfId="0" applyNumberFormat="1" applyFont="1" applyBorder="1" applyAlignment="1">
      <alignment horizontal="center" vertical="center" wrapText="1" shrinkToFit="1"/>
    </xf>
    <xf numFmtId="183" fontId="0" fillId="0" borderId="85" xfId="0" applyNumberFormat="1" applyFont="1" applyBorder="1" applyAlignment="1">
      <alignment horizontal="center" vertical="center" wrapText="1" shrinkToFit="1"/>
    </xf>
    <xf numFmtId="183" fontId="0" fillId="0" borderId="87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4" xfId="0" applyBorder="1" applyAlignment="1">
      <alignment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30" xfId="0" applyBorder="1" applyAlignment="1">
      <alignment horizontal="center" vertical="center" shrinkToFit="1"/>
    </xf>
    <xf numFmtId="0" fontId="0" fillId="0" borderId="34" xfId="0" applyBorder="1" applyAlignment="1">
      <alignment vertical="center"/>
    </xf>
    <xf numFmtId="183" fontId="0" fillId="0" borderId="0" xfId="0" applyNumberFormat="1" applyAlignment="1">
      <alignment horizontal="center" vertical="center"/>
    </xf>
    <xf numFmtId="0" fontId="0" fillId="0" borderId="91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8" xfId="0" applyBorder="1" applyAlignment="1">
      <alignment horizontal="center" vertical="center" shrinkToFit="1"/>
    </xf>
    <xf numFmtId="183" fontId="0" fillId="0" borderId="88" xfId="0" applyNumberFormat="1" applyBorder="1" applyAlignment="1">
      <alignment horizontal="center" vertical="center"/>
    </xf>
    <xf numFmtId="183" fontId="0" fillId="0" borderId="92" xfId="0" applyNumberFormat="1" applyBorder="1" applyAlignment="1">
      <alignment horizontal="center" vertical="center"/>
    </xf>
    <xf numFmtId="183" fontId="6" fillId="0" borderId="9" xfId="0" applyNumberFormat="1" applyFont="1" applyBorder="1" applyAlignment="1">
      <alignment horizontal="center" vertical="center"/>
    </xf>
    <xf numFmtId="0" fontId="0" fillId="0" borderId="93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183" fontId="0" fillId="0" borderId="0" xfId="0" applyNumberFormat="1" applyBorder="1" applyAlignment="1">
      <alignment horizontal="center" vertical="center"/>
    </xf>
    <xf numFmtId="0" fontId="5" fillId="0" borderId="94" xfId="0" applyFont="1" applyBorder="1" applyAlignment="1">
      <alignment horizontal="right" vertical="center"/>
    </xf>
    <xf numFmtId="184" fontId="6" fillId="0" borderId="9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186" fontId="0" fillId="0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186" fontId="0" fillId="0" borderId="0" xfId="0" applyNumberFormat="1" applyFont="1" applyFill="1" applyBorder="1" applyAlignment="1">
      <alignment horizontal="center" vertical="center"/>
    </xf>
    <xf numFmtId="0" fontId="0" fillId="0" borderId="94" xfId="0" applyBorder="1" applyAlignment="1">
      <alignment vertical="center" shrinkToFit="1"/>
    </xf>
    <xf numFmtId="187" fontId="6" fillId="0" borderId="9" xfId="0" applyNumberFormat="1" applyFont="1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left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Border="1" applyAlignment="1">
      <alignment vertical="center" wrapText="1" shrinkToFit="1"/>
    </xf>
    <xf numFmtId="0" fontId="0" fillId="0" borderId="91" xfId="0" applyBorder="1" applyAlignment="1">
      <alignment vertical="center" shrinkToFit="1"/>
    </xf>
    <xf numFmtId="0" fontId="9" fillId="0" borderId="0" xfId="0" applyFont="1" applyBorder="1" applyAlignment="1">
      <alignment vertical="center" wrapText="1"/>
    </xf>
    <xf numFmtId="177" fontId="6" fillId="0" borderId="6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4" xfId="0" applyBorder="1" applyAlignment="1">
      <alignment horizontal="center" vertical="center" shrinkToFit="1"/>
    </xf>
    <xf numFmtId="0" fontId="0" fillId="0" borderId="93" xfId="0" applyBorder="1" applyAlignment="1">
      <alignment vertical="center" shrinkToFit="1"/>
    </xf>
    <xf numFmtId="0" fontId="9" fillId="0" borderId="3" xfId="0" applyFont="1" applyBorder="1" applyAlignment="1">
      <alignment vertical="center" wrapText="1"/>
    </xf>
    <xf numFmtId="183" fontId="0" fillId="0" borderId="0" xfId="0" applyNumberFormat="1" applyBorder="1" applyAlignment="1">
      <alignment vertical="center"/>
    </xf>
    <xf numFmtId="183" fontId="6" fillId="0" borderId="0" xfId="0" applyNumberFormat="1" applyFont="1" applyBorder="1" applyAlignment="1">
      <alignment vertical="center"/>
    </xf>
    <xf numFmtId="0" fontId="0" fillId="0" borderId="94" xfId="0" applyBorder="1" applyAlignment="1">
      <alignment horizontal="right" vertical="center" shrinkToFit="1"/>
    </xf>
    <xf numFmtId="0" fontId="0" fillId="0" borderId="93" xfId="0" applyBorder="1" applyAlignment="1">
      <alignment horizontal="center" vertical="center" shrinkToFit="1"/>
    </xf>
    <xf numFmtId="184" fontId="0" fillId="0" borderId="0" xfId="0" applyNumberForma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0" fontId="0" fillId="0" borderId="34" xfId="0" applyBorder="1" applyAlignment="1">
      <alignment horizontal="right" shrinkToFit="1"/>
    </xf>
    <xf numFmtId="0" fontId="0" fillId="0" borderId="93" xfId="0" applyBorder="1" applyAlignment="1">
      <alignment horizontal="right" vertical="center" shrinkToFit="1"/>
    </xf>
    <xf numFmtId="186" fontId="0" fillId="0" borderId="0" xfId="0" applyNumberFormat="1" applyFont="1" applyFill="1" applyBorder="1" applyAlignment="1">
      <alignment vertical="center"/>
    </xf>
    <xf numFmtId="0" fontId="0" fillId="0" borderId="0" xfId="0" quotePrefix="1" applyBorder="1" applyAlignment="1">
      <alignment horizontal="left" shrinkToFit="1"/>
    </xf>
    <xf numFmtId="0" fontId="0" fillId="0" borderId="34" xfId="0" applyBorder="1" applyAlignment="1">
      <alignment vertical="center" shrinkToFit="1"/>
    </xf>
    <xf numFmtId="0" fontId="0" fillId="0" borderId="87" xfId="0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85" xfId="0" applyNumberFormat="1" applyBorder="1" applyAlignment="1">
      <alignment vertical="center"/>
    </xf>
    <xf numFmtId="0" fontId="0" fillId="0" borderId="85" xfId="0" applyBorder="1" applyAlignment="1">
      <alignment vertical="center" shrinkToFit="1"/>
    </xf>
    <xf numFmtId="49" fontId="0" fillId="0" borderId="0" xfId="0" applyNumberFormat="1" applyAlignment="1">
      <alignment horizontal="center" vertical="center"/>
    </xf>
    <xf numFmtId="183" fontId="8" fillId="0" borderId="93" xfId="0" applyNumberFormat="1" applyFont="1" applyBorder="1" applyAlignment="1">
      <alignment vertical="center" textRotation="90" shrinkToFit="1"/>
    </xf>
    <xf numFmtId="0" fontId="0" fillId="0" borderId="30" xfId="0" applyBorder="1" applyAlignment="1">
      <alignment vertical="center" shrinkToFit="1"/>
    </xf>
    <xf numFmtId="0" fontId="0" fillId="0" borderId="9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9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185" fontId="0" fillId="0" borderId="93" xfId="0" applyNumberFormat="1" applyBorder="1" applyAlignment="1">
      <alignment vertical="center"/>
    </xf>
    <xf numFmtId="185" fontId="0" fillId="0" borderId="0" xfId="0" applyNumberForma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0" fillId="4" borderId="3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7" borderId="32" xfId="0" applyFill="1" applyBorder="1" applyAlignment="1">
      <alignment horizontal="left" vertical="center"/>
    </xf>
    <xf numFmtId="0" fontId="0" fillId="7" borderId="26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49" fontId="0" fillId="14" borderId="2" xfId="0" applyNumberFormat="1" applyFill="1" applyBorder="1" applyAlignment="1">
      <alignment horizontal="center" vertical="center"/>
    </xf>
    <xf numFmtId="49" fontId="0" fillId="14" borderId="21" xfId="0" applyNumberFormat="1" applyFill="1" applyBorder="1" applyAlignment="1">
      <alignment horizontal="center" vertical="center"/>
    </xf>
    <xf numFmtId="49" fontId="0" fillId="14" borderId="3" xfId="0" applyNumberForma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32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wrapText="1"/>
    </xf>
    <xf numFmtId="0" fontId="0" fillId="5" borderId="3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5" borderId="32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2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12" fillId="13" borderId="0" xfId="0" applyFont="1" applyFill="1" applyAlignment="1">
      <alignment horizontal="center" vertical="center"/>
    </xf>
    <xf numFmtId="0" fontId="0" fillId="12" borderId="29" xfId="0" applyFont="1" applyFill="1" applyBorder="1" applyAlignment="1">
      <alignment horizontal="center" vertical="center"/>
    </xf>
    <xf numFmtId="0" fontId="0" fillId="12" borderId="2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/>
    </xf>
    <xf numFmtId="0" fontId="0" fillId="12" borderId="52" xfId="0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/>
    </xf>
    <xf numFmtId="49" fontId="0" fillId="13" borderId="9" xfId="0" applyNumberFormat="1" applyFill="1" applyBorder="1" applyAlignment="1">
      <alignment horizontal="center" vertical="center"/>
    </xf>
    <xf numFmtId="49" fontId="0" fillId="13" borderId="26" xfId="0" applyNumberFormat="1" applyFill="1" applyBorder="1" applyAlignment="1">
      <alignment horizontal="center" vertical="center"/>
    </xf>
    <xf numFmtId="49" fontId="0" fillId="13" borderId="10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13" borderId="32" xfId="0" applyFill="1" applyBorder="1" applyAlignment="1">
      <alignment horizontal="left" vertical="center"/>
    </xf>
    <xf numFmtId="0" fontId="0" fillId="13" borderId="26" xfId="0" applyFill="1" applyBorder="1" applyAlignment="1">
      <alignment horizontal="left" vertical="center"/>
    </xf>
    <xf numFmtId="0" fontId="0" fillId="13" borderId="10" xfId="0" applyFill="1" applyBorder="1" applyAlignment="1">
      <alignment horizontal="left" vertical="center"/>
    </xf>
    <xf numFmtId="0" fontId="0" fillId="16" borderId="32" xfId="0" applyFill="1" applyBorder="1" applyAlignment="1">
      <alignment horizontal="left" vertical="center"/>
    </xf>
    <xf numFmtId="0" fontId="0" fillId="16" borderId="26" xfId="0" applyFill="1" applyBorder="1" applyAlignment="1">
      <alignment horizontal="left" vertical="center"/>
    </xf>
    <xf numFmtId="0" fontId="0" fillId="16" borderId="1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3" fontId="6" fillId="0" borderId="0" xfId="0" applyNumberFormat="1" applyFont="1" applyBorder="1" applyAlignment="1">
      <alignment horizontal="left" vertical="center" textRotation="90" shrinkToFit="1"/>
    </xf>
    <xf numFmtId="0" fontId="0" fillId="0" borderId="79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184" fontId="9" fillId="0" borderId="34" xfId="0" applyNumberFormat="1" applyFont="1" applyBorder="1" applyAlignment="1">
      <alignment horizontal="right" vertical="center" textRotation="90" shrinkToFit="1"/>
    </xf>
    <xf numFmtId="0" fontId="12" fillId="16" borderId="0" xfId="0" applyFont="1" applyFill="1" applyAlignment="1">
      <alignment horizontal="center" vertical="center"/>
    </xf>
    <xf numFmtId="184" fontId="6" fillId="0" borderId="0" xfId="0" applyNumberFormat="1" applyFont="1" applyAlignment="1">
      <alignment horizontal="center" vertical="center"/>
    </xf>
    <xf numFmtId="184" fontId="6" fillId="0" borderId="20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96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83" fontId="6" fillId="0" borderId="86" xfId="0" applyNumberFormat="1" applyFont="1" applyBorder="1" applyAlignment="1">
      <alignment horizontal="left" vertical="center" textRotation="90" shrinkToFit="1"/>
    </xf>
    <xf numFmtId="183" fontId="6" fillId="0" borderId="30" xfId="0" applyNumberFormat="1" applyFont="1" applyBorder="1" applyAlignment="1">
      <alignment horizontal="left" vertical="center" textRotation="90" shrinkToFit="1"/>
    </xf>
    <xf numFmtId="183" fontId="6" fillId="0" borderId="0" xfId="0" applyNumberFormat="1" applyFont="1" applyBorder="1" applyAlignment="1">
      <alignment horizontal="right" textRotation="90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3" fontId="6" fillId="0" borderId="85" xfId="0" applyNumberFormat="1" applyFont="1" applyBorder="1" applyAlignment="1">
      <alignment horizontal="center" vertical="center"/>
    </xf>
    <xf numFmtId="183" fontId="6" fillId="0" borderId="8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6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15</xdr:row>
      <xdr:rowOff>0</xdr:rowOff>
    </xdr:from>
    <xdr:to>
      <xdr:col>12</xdr:col>
      <xdr:colOff>142875</xdr:colOff>
      <xdr:row>16</xdr:row>
      <xdr:rowOff>95250</xdr:rowOff>
    </xdr:to>
    <xdr:sp macro="" textlink="">
      <xdr:nvSpPr>
        <xdr:cNvPr id="3" name="円/楕円 2"/>
        <xdr:cNvSpPr/>
      </xdr:nvSpPr>
      <xdr:spPr>
        <a:xfrm>
          <a:off x="5953125" y="1971675"/>
          <a:ext cx="276225" cy="2667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533401</xdr:colOff>
      <xdr:row>11</xdr:row>
      <xdr:rowOff>9525</xdr:rowOff>
    </xdr:from>
    <xdr:to>
      <xdr:col>13</xdr:col>
      <xdr:colOff>161925</xdr:colOff>
      <xdr:row>13</xdr:row>
      <xdr:rowOff>0</xdr:rowOff>
    </xdr:to>
    <xdr:sp macro="" textlink="">
      <xdr:nvSpPr>
        <xdr:cNvPr id="4" name="円/楕円 3"/>
        <xdr:cNvSpPr/>
      </xdr:nvSpPr>
      <xdr:spPr>
        <a:xfrm>
          <a:off x="6619876" y="1285875"/>
          <a:ext cx="314324" cy="33337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M</a:t>
          </a:r>
        </a:p>
      </xdr:txBody>
    </xdr:sp>
    <xdr:clientData/>
  </xdr:twoCellAnchor>
  <xdr:twoCellAnchor>
    <xdr:from>
      <xdr:col>19</xdr:col>
      <xdr:colOff>419100</xdr:colOff>
      <xdr:row>5</xdr:row>
      <xdr:rowOff>9525</xdr:rowOff>
    </xdr:from>
    <xdr:to>
      <xdr:col>20</xdr:col>
      <xdr:colOff>95250</xdr:colOff>
      <xdr:row>6</xdr:row>
      <xdr:rowOff>9525</xdr:rowOff>
    </xdr:to>
    <xdr:sp macro="" textlink="">
      <xdr:nvSpPr>
        <xdr:cNvPr id="5" name="円/楕円 4"/>
        <xdr:cNvSpPr/>
      </xdr:nvSpPr>
      <xdr:spPr>
        <a:xfrm>
          <a:off x="10725150" y="485775"/>
          <a:ext cx="180975" cy="171450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419100</xdr:colOff>
      <xdr:row>5</xdr:row>
      <xdr:rowOff>0</xdr:rowOff>
    </xdr:from>
    <xdr:to>
      <xdr:col>19</xdr:col>
      <xdr:colOff>85725</xdr:colOff>
      <xdr:row>5</xdr:row>
      <xdr:rowOff>161925</xdr:rowOff>
    </xdr:to>
    <xdr:sp macro="" textlink="">
      <xdr:nvSpPr>
        <xdr:cNvPr id="6" name="円/楕円 5"/>
        <xdr:cNvSpPr/>
      </xdr:nvSpPr>
      <xdr:spPr>
        <a:xfrm>
          <a:off x="10220325" y="23812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590550</xdr:colOff>
      <xdr:row>8</xdr:row>
      <xdr:rowOff>171450</xdr:rowOff>
    </xdr:from>
    <xdr:to>
      <xdr:col>17</xdr:col>
      <xdr:colOff>85725</xdr:colOff>
      <xdr:row>9</xdr:row>
      <xdr:rowOff>152400</xdr:rowOff>
    </xdr:to>
    <xdr:sp macro="" textlink="">
      <xdr:nvSpPr>
        <xdr:cNvPr id="7" name="円/楕円 6"/>
        <xdr:cNvSpPr/>
      </xdr:nvSpPr>
      <xdr:spPr>
        <a:xfrm>
          <a:off x="9039225" y="92392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590550</xdr:colOff>
      <xdr:row>9</xdr:row>
      <xdr:rowOff>0</xdr:rowOff>
    </xdr:from>
    <xdr:to>
      <xdr:col>16</xdr:col>
      <xdr:colOff>85725</xdr:colOff>
      <xdr:row>9</xdr:row>
      <xdr:rowOff>161925</xdr:rowOff>
    </xdr:to>
    <xdr:sp macro="" textlink="">
      <xdr:nvSpPr>
        <xdr:cNvPr id="8" name="円/楕円 7"/>
        <xdr:cNvSpPr/>
      </xdr:nvSpPr>
      <xdr:spPr>
        <a:xfrm>
          <a:off x="8362950" y="933450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771525</xdr:colOff>
      <xdr:row>9</xdr:row>
      <xdr:rowOff>9525</xdr:rowOff>
    </xdr:from>
    <xdr:to>
      <xdr:col>14</xdr:col>
      <xdr:colOff>85725</xdr:colOff>
      <xdr:row>10</xdr:row>
      <xdr:rowOff>0</xdr:rowOff>
    </xdr:to>
    <xdr:sp macro="" textlink="">
      <xdr:nvSpPr>
        <xdr:cNvPr id="9" name="円/楕円 8"/>
        <xdr:cNvSpPr/>
      </xdr:nvSpPr>
      <xdr:spPr>
        <a:xfrm>
          <a:off x="7543800" y="94297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590550</xdr:colOff>
      <xdr:row>9</xdr:row>
      <xdr:rowOff>0</xdr:rowOff>
    </xdr:from>
    <xdr:to>
      <xdr:col>17</xdr:col>
      <xdr:colOff>85725</xdr:colOff>
      <xdr:row>9</xdr:row>
      <xdr:rowOff>161925</xdr:rowOff>
    </xdr:to>
    <xdr:sp macro="" textlink="">
      <xdr:nvSpPr>
        <xdr:cNvPr id="12" name="円/楕円 11"/>
        <xdr:cNvSpPr/>
      </xdr:nvSpPr>
      <xdr:spPr>
        <a:xfrm>
          <a:off x="8362950" y="933450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43219</xdr:colOff>
      <xdr:row>16</xdr:row>
      <xdr:rowOff>120985</xdr:rowOff>
    </xdr:from>
    <xdr:to>
      <xdr:col>11</xdr:col>
      <xdr:colOff>457200</xdr:colOff>
      <xdr:row>18</xdr:row>
      <xdr:rowOff>149560</xdr:rowOff>
    </xdr:to>
    <xdr:sp macro="" textlink="">
      <xdr:nvSpPr>
        <xdr:cNvPr id="11" name="右矢印 10"/>
        <xdr:cNvSpPr/>
      </xdr:nvSpPr>
      <xdr:spPr>
        <a:xfrm rot="20194173">
          <a:off x="4758094" y="3197560"/>
          <a:ext cx="1099781" cy="390525"/>
        </a:xfrm>
        <a:prstGeom prst="rightArrow">
          <a:avLst>
            <a:gd name="adj1" fmla="val 53658"/>
            <a:gd name="adj2" fmla="val 5000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155572</xdr:colOff>
      <xdr:row>15</xdr:row>
      <xdr:rowOff>91322</xdr:rowOff>
    </xdr:from>
    <xdr:to>
      <xdr:col>9</xdr:col>
      <xdr:colOff>508912</xdr:colOff>
      <xdr:row>19</xdr:row>
      <xdr:rowOff>53222</xdr:rowOff>
    </xdr:to>
    <xdr:sp macro="" textlink="">
      <xdr:nvSpPr>
        <xdr:cNvPr id="2" name="上矢印 1"/>
        <xdr:cNvSpPr/>
      </xdr:nvSpPr>
      <xdr:spPr>
        <a:xfrm rot="20178775">
          <a:off x="4184647" y="2996447"/>
          <a:ext cx="353340" cy="666750"/>
        </a:xfrm>
        <a:prstGeom prst="upArrow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219075</xdr:colOff>
      <xdr:row>28</xdr:row>
      <xdr:rowOff>142875</xdr:rowOff>
    </xdr:from>
    <xdr:to>
      <xdr:col>13</xdr:col>
      <xdr:colOff>847724</xdr:colOff>
      <xdr:row>31</xdr:row>
      <xdr:rowOff>9525</xdr:rowOff>
    </xdr:to>
    <xdr:sp macro="" textlink="">
      <xdr:nvSpPr>
        <xdr:cNvPr id="13" name="右矢印 12"/>
        <xdr:cNvSpPr/>
      </xdr:nvSpPr>
      <xdr:spPr>
        <a:xfrm>
          <a:off x="5619750" y="5305425"/>
          <a:ext cx="2000249" cy="390525"/>
        </a:xfrm>
        <a:prstGeom prst="rightArrow">
          <a:avLst>
            <a:gd name="adj1" fmla="val 53658"/>
            <a:gd name="adj2" fmla="val 5000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200025</xdr:colOff>
      <xdr:row>58</xdr:row>
      <xdr:rowOff>0</xdr:rowOff>
    </xdr:from>
    <xdr:to>
      <xdr:col>15</xdr:col>
      <xdr:colOff>457200</xdr:colOff>
      <xdr:row>62</xdr:row>
      <xdr:rowOff>95250</xdr:rowOff>
    </xdr:to>
    <xdr:sp macro="" textlink="">
      <xdr:nvSpPr>
        <xdr:cNvPr id="14" name="曲折矢印 13"/>
        <xdr:cNvSpPr/>
      </xdr:nvSpPr>
      <xdr:spPr>
        <a:xfrm rot="10800000">
          <a:off x="6972300" y="10372725"/>
          <a:ext cx="1257300" cy="819150"/>
        </a:xfrm>
        <a:prstGeom prst="bentArrow">
          <a:avLst>
            <a:gd name="adj1" fmla="val 25000"/>
            <a:gd name="adj2" fmla="val 26000"/>
            <a:gd name="adj3" fmla="val 26316"/>
            <a:gd name="adj4" fmla="val 4375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490538</xdr:colOff>
      <xdr:row>37</xdr:row>
      <xdr:rowOff>147638</xdr:rowOff>
    </xdr:from>
    <xdr:to>
      <xdr:col>12</xdr:col>
      <xdr:colOff>176213</xdr:colOff>
      <xdr:row>42</xdr:row>
      <xdr:rowOff>147638</xdr:rowOff>
    </xdr:to>
    <xdr:sp macro="" textlink="">
      <xdr:nvSpPr>
        <xdr:cNvPr id="15" name="右矢印 14"/>
        <xdr:cNvSpPr/>
      </xdr:nvSpPr>
      <xdr:spPr>
        <a:xfrm rot="14762709">
          <a:off x="5648326" y="7115175"/>
          <a:ext cx="857250" cy="371475"/>
        </a:xfrm>
        <a:prstGeom prst="rightArrow">
          <a:avLst/>
        </a:prstGeom>
        <a:solidFill>
          <a:srgbClr val="92D050"/>
        </a:solidFill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628650</xdr:colOff>
      <xdr:row>1</xdr:row>
      <xdr:rowOff>76198</xdr:rowOff>
    </xdr:from>
    <xdr:to>
      <xdr:col>3</xdr:col>
      <xdr:colOff>257174</xdr:colOff>
      <xdr:row>15</xdr:row>
      <xdr:rowOff>47624</xdr:rowOff>
    </xdr:to>
    <xdr:sp macro="" textlink="">
      <xdr:nvSpPr>
        <xdr:cNvPr id="16" name="屈折矢印 15"/>
        <xdr:cNvSpPr/>
      </xdr:nvSpPr>
      <xdr:spPr>
        <a:xfrm rot="10800000">
          <a:off x="828675" y="533398"/>
          <a:ext cx="390524" cy="2419351"/>
        </a:xfrm>
        <a:prstGeom prst="bentUpArrow">
          <a:avLst>
            <a:gd name="adj1" fmla="val 25000"/>
            <a:gd name="adj2" fmla="val 21250"/>
            <a:gd name="adj3" fmla="val 25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17</xdr:row>
      <xdr:rowOff>0</xdr:rowOff>
    </xdr:from>
    <xdr:to>
      <xdr:col>12</xdr:col>
      <xdr:colOff>142875</xdr:colOff>
      <xdr:row>18</xdr:row>
      <xdr:rowOff>95250</xdr:rowOff>
    </xdr:to>
    <xdr:sp macro="" textlink="">
      <xdr:nvSpPr>
        <xdr:cNvPr id="2" name="円/楕円 1"/>
        <xdr:cNvSpPr/>
      </xdr:nvSpPr>
      <xdr:spPr>
        <a:xfrm>
          <a:off x="5953125" y="2905125"/>
          <a:ext cx="276225" cy="2667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533401</xdr:colOff>
      <xdr:row>13</xdr:row>
      <xdr:rowOff>9525</xdr:rowOff>
    </xdr:from>
    <xdr:to>
      <xdr:col>13</xdr:col>
      <xdr:colOff>161925</xdr:colOff>
      <xdr:row>15</xdr:row>
      <xdr:rowOff>0</xdr:rowOff>
    </xdr:to>
    <xdr:sp macro="" textlink="">
      <xdr:nvSpPr>
        <xdr:cNvPr id="3" name="円/楕円 2"/>
        <xdr:cNvSpPr/>
      </xdr:nvSpPr>
      <xdr:spPr>
        <a:xfrm>
          <a:off x="6619876" y="2219325"/>
          <a:ext cx="314324" cy="33337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M</a:t>
          </a:r>
        </a:p>
      </xdr:txBody>
    </xdr:sp>
    <xdr:clientData/>
  </xdr:twoCellAnchor>
  <xdr:twoCellAnchor>
    <xdr:from>
      <xdr:col>19</xdr:col>
      <xdr:colOff>419100</xdr:colOff>
      <xdr:row>7</xdr:row>
      <xdr:rowOff>9525</xdr:rowOff>
    </xdr:from>
    <xdr:to>
      <xdr:col>20</xdr:col>
      <xdr:colOff>95250</xdr:colOff>
      <xdr:row>8</xdr:row>
      <xdr:rowOff>9525</xdr:rowOff>
    </xdr:to>
    <xdr:sp macro="" textlink="">
      <xdr:nvSpPr>
        <xdr:cNvPr id="4" name="円/楕円 3"/>
        <xdr:cNvSpPr/>
      </xdr:nvSpPr>
      <xdr:spPr>
        <a:xfrm>
          <a:off x="10725150" y="1181100"/>
          <a:ext cx="180975" cy="171450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419100</xdr:colOff>
      <xdr:row>7</xdr:row>
      <xdr:rowOff>0</xdr:rowOff>
    </xdr:from>
    <xdr:to>
      <xdr:col>19</xdr:col>
      <xdr:colOff>85725</xdr:colOff>
      <xdr:row>7</xdr:row>
      <xdr:rowOff>161925</xdr:rowOff>
    </xdr:to>
    <xdr:sp macro="" textlink="">
      <xdr:nvSpPr>
        <xdr:cNvPr id="5" name="円/楕円 4"/>
        <xdr:cNvSpPr/>
      </xdr:nvSpPr>
      <xdr:spPr>
        <a:xfrm>
          <a:off x="10220325" y="117157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590550</xdr:colOff>
      <xdr:row>10</xdr:row>
      <xdr:rowOff>171450</xdr:rowOff>
    </xdr:from>
    <xdr:to>
      <xdr:col>17</xdr:col>
      <xdr:colOff>85725</xdr:colOff>
      <xdr:row>11</xdr:row>
      <xdr:rowOff>152400</xdr:rowOff>
    </xdr:to>
    <xdr:sp macro="" textlink="">
      <xdr:nvSpPr>
        <xdr:cNvPr id="6" name="円/楕円 5"/>
        <xdr:cNvSpPr/>
      </xdr:nvSpPr>
      <xdr:spPr>
        <a:xfrm>
          <a:off x="9039225" y="185737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590550</xdr:colOff>
      <xdr:row>11</xdr:row>
      <xdr:rowOff>0</xdr:rowOff>
    </xdr:from>
    <xdr:to>
      <xdr:col>16</xdr:col>
      <xdr:colOff>85725</xdr:colOff>
      <xdr:row>11</xdr:row>
      <xdr:rowOff>161925</xdr:rowOff>
    </xdr:to>
    <xdr:sp macro="" textlink="">
      <xdr:nvSpPr>
        <xdr:cNvPr id="7" name="円/楕円 6"/>
        <xdr:cNvSpPr/>
      </xdr:nvSpPr>
      <xdr:spPr>
        <a:xfrm>
          <a:off x="8362950" y="1866900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771525</xdr:colOff>
      <xdr:row>11</xdr:row>
      <xdr:rowOff>9525</xdr:rowOff>
    </xdr:from>
    <xdr:to>
      <xdr:col>14</xdr:col>
      <xdr:colOff>85725</xdr:colOff>
      <xdr:row>12</xdr:row>
      <xdr:rowOff>0</xdr:rowOff>
    </xdr:to>
    <xdr:sp macro="" textlink="">
      <xdr:nvSpPr>
        <xdr:cNvPr id="8" name="円/楕円 7"/>
        <xdr:cNvSpPr/>
      </xdr:nvSpPr>
      <xdr:spPr>
        <a:xfrm>
          <a:off x="7543800" y="1876425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590550</xdr:colOff>
      <xdr:row>11</xdr:row>
      <xdr:rowOff>0</xdr:rowOff>
    </xdr:from>
    <xdr:to>
      <xdr:col>17</xdr:col>
      <xdr:colOff>85725</xdr:colOff>
      <xdr:row>11</xdr:row>
      <xdr:rowOff>161925</xdr:rowOff>
    </xdr:to>
    <xdr:sp macro="" textlink="">
      <xdr:nvSpPr>
        <xdr:cNvPr id="9" name="円/楕円 8"/>
        <xdr:cNvSpPr/>
      </xdr:nvSpPr>
      <xdr:spPr>
        <a:xfrm>
          <a:off x="9039225" y="1866900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43219</xdr:colOff>
      <xdr:row>18</xdr:row>
      <xdr:rowOff>120985</xdr:rowOff>
    </xdr:from>
    <xdr:to>
      <xdr:col>11</xdr:col>
      <xdr:colOff>457200</xdr:colOff>
      <xdr:row>20</xdr:row>
      <xdr:rowOff>149560</xdr:rowOff>
    </xdr:to>
    <xdr:sp macro="" textlink="">
      <xdr:nvSpPr>
        <xdr:cNvPr id="10" name="右矢印 9"/>
        <xdr:cNvSpPr/>
      </xdr:nvSpPr>
      <xdr:spPr>
        <a:xfrm rot="20194173">
          <a:off x="4758094" y="3197560"/>
          <a:ext cx="1099781" cy="390525"/>
        </a:xfrm>
        <a:prstGeom prst="rightArrow">
          <a:avLst>
            <a:gd name="adj1" fmla="val 53658"/>
            <a:gd name="adj2" fmla="val 5000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419100</xdr:colOff>
      <xdr:row>3</xdr:row>
      <xdr:rowOff>9525</xdr:rowOff>
    </xdr:from>
    <xdr:to>
      <xdr:col>23</xdr:col>
      <xdr:colOff>95250</xdr:colOff>
      <xdr:row>4</xdr:row>
      <xdr:rowOff>9525</xdr:rowOff>
    </xdr:to>
    <xdr:sp macro="" textlink="">
      <xdr:nvSpPr>
        <xdr:cNvPr id="12" name="円/楕円 11"/>
        <xdr:cNvSpPr/>
      </xdr:nvSpPr>
      <xdr:spPr>
        <a:xfrm>
          <a:off x="10725150" y="1323975"/>
          <a:ext cx="180975" cy="171450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419100</xdr:colOff>
      <xdr:row>3</xdr:row>
      <xdr:rowOff>0</xdr:rowOff>
    </xdr:from>
    <xdr:to>
      <xdr:col>22</xdr:col>
      <xdr:colOff>85725</xdr:colOff>
      <xdr:row>3</xdr:row>
      <xdr:rowOff>161925</xdr:rowOff>
    </xdr:to>
    <xdr:sp macro="" textlink="">
      <xdr:nvSpPr>
        <xdr:cNvPr id="13" name="円/楕円 12"/>
        <xdr:cNvSpPr/>
      </xdr:nvSpPr>
      <xdr:spPr>
        <a:xfrm>
          <a:off x="10220325" y="1314450"/>
          <a:ext cx="171450" cy="161925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419100</xdr:colOff>
      <xdr:row>3</xdr:row>
      <xdr:rowOff>9525</xdr:rowOff>
    </xdr:from>
    <xdr:to>
      <xdr:col>23</xdr:col>
      <xdr:colOff>95250</xdr:colOff>
      <xdr:row>4</xdr:row>
      <xdr:rowOff>9525</xdr:rowOff>
    </xdr:to>
    <xdr:sp macro="" textlink="">
      <xdr:nvSpPr>
        <xdr:cNvPr id="17" name="円/楕円 16"/>
        <xdr:cNvSpPr/>
      </xdr:nvSpPr>
      <xdr:spPr>
        <a:xfrm>
          <a:off x="10725150" y="1181100"/>
          <a:ext cx="180975" cy="171450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43219</xdr:colOff>
      <xdr:row>18</xdr:row>
      <xdr:rowOff>120985</xdr:rowOff>
    </xdr:from>
    <xdr:to>
      <xdr:col>11</xdr:col>
      <xdr:colOff>457200</xdr:colOff>
      <xdr:row>20</xdr:row>
      <xdr:rowOff>149560</xdr:rowOff>
    </xdr:to>
    <xdr:sp macro="" textlink="">
      <xdr:nvSpPr>
        <xdr:cNvPr id="18" name="右矢印 17"/>
        <xdr:cNvSpPr/>
      </xdr:nvSpPr>
      <xdr:spPr>
        <a:xfrm rot="20194173">
          <a:off x="4758094" y="3197560"/>
          <a:ext cx="1099781" cy="390525"/>
        </a:xfrm>
        <a:prstGeom prst="rightArrow">
          <a:avLst>
            <a:gd name="adj1" fmla="val 53658"/>
            <a:gd name="adj2" fmla="val 5000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155572</xdr:colOff>
      <xdr:row>17</xdr:row>
      <xdr:rowOff>91322</xdr:rowOff>
    </xdr:from>
    <xdr:to>
      <xdr:col>9</xdr:col>
      <xdr:colOff>508912</xdr:colOff>
      <xdr:row>21</xdr:row>
      <xdr:rowOff>53222</xdr:rowOff>
    </xdr:to>
    <xdr:sp macro="" textlink="">
      <xdr:nvSpPr>
        <xdr:cNvPr id="19" name="上矢印 18"/>
        <xdr:cNvSpPr/>
      </xdr:nvSpPr>
      <xdr:spPr>
        <a:xfrm rot="20178775">
          <a:off x="4184647" y="2996447"/>
          <a:ext cx="353340" cy="666750"/>
        </a:xfrm>
        <a:prstGeom prst="upArrow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219076</xdr:colOff>
      <xdr:row>32</xdr:row>
      <xdr:rowOff>133350</xdr:rowOff>
    </xdr:from>
    <xdr:to>
      <xdr:col>13</xdr:col>
      <xdr:colOff>828676</xdr:colOff>
      <xdr:row>35</xdr:row>
      <xdr:rowOff>0</xdr:rowOff>
    </xdr:to>
    <xdr:sp macro="" textlink="">
      <xdr:nvSpPr>
        <xdr:cNvPr id="20" name="右矢印 19"/>
        <xdr:cNvSpPr/>
      </xdr:nvSpPr>
      <xdr:spPr>
        <a:xfrm>
          <a:off x="5619751" y="5962650"/>
          <a:ext cx="1981200" cy="390525"/>
        </a:xfrm>
        <a:prstGeom prst="rightArrow">
          <a:avLst>
            <a:gd name="adj1" fmla="val 53658"/>
            <a:gd name="adj2" fmla="val 5000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641771</xdr:colOff>
      <xdr:row>41</xdr:row>
      <xdr:rowOff>115553</xdr:rowOff>
    </xdr:from>
    <xdr:to>
      <xdr:col>12</xdr:col>
      <xdr:colOff>327446</xdr:colOff>
      <xdr:row>51</xdr:row>
      <xdr:rowOff>12790</xdr:rowOff>
    </xdr:to>
    <xdr:sp macro="" textlink="">
      <xdr:nvSpPr>
        <xdr:cNvPr id="21" name="右矢印 20"/>
        <xdr:cNvSpPr/>
      </xdr:nvSpPr>
      <xdr:spPr>
        <a:xfrm rot="14762709">
          <a:off x="5427078" y="8122321"/>
          <a:ext cx="1602212" cy="371475"/>
        </a:xfrm>
        <a:prstGeom prst="rightArrow">
          <a:avLst/>
        </a:prstGeom>
        <a:solidFill>
          <a:srgbClr val="92D050"/>
        </a:solidFill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200025</xdr:colOff>
      <xdr:row>68</xdr:row>
      <xdr:rowOff>0</xdr:rowOff>
    </xdr:from>
    <xdr:to>
      <xdr:col>15</xdr:col>
      <xdr:colOff>457200</xdr:colOff>
      <xdr:row>72</xdr:row>
      <xdr:rowOff>95250</xdr:rowOff>
    </xdr:to>
    <xdr:sp macro="" textlink="">
      <xdr:nvSpPr>
        <xdr:cNvPr id="22" name="曲折矢印 21"/>
        <xdr:cNvSpPr/>
      </xdr:nvSpPr>
      <xdr:spPr>
        <a:xfrm rot="10800000">
          <a:off x="6972300" y="10372725"/>
          <a:ext cx="1257300" cy="819150"/>
        </a:xfrm>
        <a:prstGeom prst="bentArrow">
          <a:avLst>
            <a:gd name="adj1" fmla="val 25000"/>
            <a:gd name="adj2" fmla="val 26000"/>
            <a:gd name="adj3" fmla="val 26316"/>
            <a:gd name="adj4" fmla="val 43750"/>
          </a:avLst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619125</xdr:colOff>
      <xdr:row>1</xdr:row>
      <xdr:rowOff>57149</xdr:rowOff>
    </xdr:from>
    <xdr:to>
      <xdr:col>3</xdr:col>
      <xdr:colOff>257174</xdr:colOff>
      <xdr:row>17</xdr:row>
      <xdr:rowOff>38099</xdr:rowOff>
    </xdr:to>
    <xdr:sp macro="" textlink="">
      <xdr:nvSpPr>
        <xdr:cNvPr id="23" name="屈折矢印 22"/>
        <xdr:cNvSpPr/>
      </xdr:nvSpPr>
      <xdr:spPr>
        <a:xfrm rot="10800000">
          <a:off x="885825" y="514349"/>
          <a:ext cx="400049" cy="2762250"/>
        </a:xfrm>
        <a:prstGeom prst="bentUpArrow">
          <a:avLst>
            <a:gd name="adj1" fmla="val 25000"/>
            <a:gd name="adj2" fmla="val 21250"/>
            <a:gd name="adj3" fmla="val 25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581025</xdr:colOff>
      <xdr:row>37</xdr:row>
      <xdr:rowOff>180975</xdr:rowOff>
    </xdr:from>
    <xdr:to>
      <xdr:col>12</xdr:col>
      <xdr:colOff>133350</xdr:colOff>
      <xdr:row>40</xdr:row>
      <xdr:rowOff>9525</xdr:rowOff>
    </xdr:to>
    <xdr:sp macro="" textlink="">
      <xdr:nvSpPr>
        <xdr:cNvPr id="2" name="円/楕円 1"/>
        <xdr:cNvSpPr/>
      </xdr:nvSpPr>
      <xdr:spPr>
        <a:xfrm>
          <a:off x="8020050" y="6515100"/>
          <a:ext cx="228600" cy="3524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29</xdr:col>
      <xdr:colOff>590550</xdr:colOff>
      <xdr:row>13</xdr:row>
      <xdr:rowOff>19050</xdr:rowOff>
    </xdr:from>
    <xdr:to>
      <xdr:col>30</xdr:col>
      <xdr:colOff>76200</xdr:colOff>
      <xdr:row>13</xdr:row>
      <xdr:rowOff>180975</xdr:rowOff>
    </xdr:to>
    <xdr:sp macro="" textlink="">
      <xdr:nvSpPr>
        <xdr:cNvPr id="3" name="円/楕円 2"/>
        <xdr:cNvSpPr/>
      </xdr:nvSpPr>
      <xdr:spPr>
        <a:xfrm>
          <a:off x="20202525" y="2247900"/>
          <a:ext cx="161925" cy="1524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590550</xdr:colOff>
      <xdr:row>13</xdr:row>
      <xdr:rowOff>28575</xdr:rowOff>
    </xdr:from>
    <xdr:to>
      <xdr:col>28</xdr:col>
      <xdr:colOff>76200</xdr:colOff>
      <xdr:row>14</xdr:row>
      <xdr:rowOff>0</xdr:rowOff>
    </xdr:to>
    <xdr:sp macro="" textlink="">
      <xdr:nvSpPr>
        <xdr:cNvPr id="4" name="円/楕円 3"/>
        <xdr:cNvSpPr/>
      </xdr:nvSpPr>
      <xdr:spPr>
        <a:xfrm>
          <a:off x="18849975" y="2257425"/>
          <a:ext cx="161925" cy="1428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590550</xdr:colOff>
      <xdr:row>13</xdr:row>
      <xdr:rowOff>19050</xdr:rowOff>
    </xdr:from>
    <xdr:to>
      <xdr:col>26</xdr:col>
      <xdr:colOff>76200</xdr:colOff>
      <xdr:row>13</xdr:row>
      <xdr:rowOff>180975</xdr:rowOff>
    </xdr:to>
    <xdr:sp macro="" textlink="">
      <xdr:nvSpPr>
        <xdr:cNvPr id="5" name="円/楕円 4"/>
        <xdr:cNvSpPr/>
      </xdr:nvSpPr>
      <xdr:spPr>
        <a:xfrm>
          <a:off x="17497425" y="2247900"/>
          <a:ext cx="161925" cy="1524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21</xdr:row>
      <xdr:rowOff>114300</xdr:rowOff>
    </xdr:from>
    <xdr:to>
      <xdr:col>8</xdr:col>
      <xdr:colOff>609600</xdr:colOff>
      <xdr:row>24</xdr:row>
      <xdr:rowOff>104775</xdr:rowOff>
    </xdr:to>
    <xdr:sp macro="" textlink="">
      <xdr:nvSpPr>
        <xdr:cNvPr id="6" name="下矢印 5"/>
        <xdr:cNvSpPr/>
      </xdr:nvSpPr>
      <xdr:spPr>
        <a:xfrm>
          <a:off x="4838700" y="4695825"/>
          <a:ext cx="352425" cy="561975"/>
        </a:xfrm>
        <a:prstGeom prst="downArrow">
          <a:avLst/>
        </a:prstGeom>
        <a:solidFill>
          <a:srgbClr val="00B05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400050</xdr:colOff>
      <xdr:row>30</xdr:row>
      <xdr:rowOff>114300</xdr:rowOff>
    </xdr:from>
    <xdr:to>
      <xdr:col>14</xdr:col>
      <xdr:colOff>47625</xdr:colOff>
      <xdr:row>32</xdr:row>
      <xdr:rowOff>114300</xdr:rowOff>
    </xdr:to>
    <xdr:sp macro="" textlink="">
      <xdr:nvSpPr>
        <xdr:cNvPr id="9" name="右矢印 8"/>
        <xdr:cNvSpPr/>
      </xdr:nvSpPr>
      <xdr:spPr>
        <a:xfrm rot="10800000">
          <a:off x="7210425" y="6410325"/>
          <a:ext cx="1314450" cy="381000"/>
        </a:xfrm>
        <a:prstGeom prst="rightArrow">
          <a:avLst/>
        </a:prstGeom>
        <a:solidFill>
          <a:srgbClr val="00B05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133351</xdr:colOff>
      <xdr:row>41</xdr:row>
      <xdr:rowOff>123826</xdr:rowOff>
    </xdr:from>
    <xdr:to>
      <xdr:col>11</xdr:col>
      <xdr:colOff>819151</xdr:colOff>
      <xdr:row>43</xdr:row>
      <xdr:rowOff>114301</xdr:rowOff>
    </xdr:to>
    <xdr:sp macro="" textlink="">
      <xdr:nvSpPr>
        <xdr:cNvPr id="10" name="右矢印 9"/>
        <xdr:cNvSpPr/>
      </xdr:nvSpPr>
      <xdr:spPr>
        <a:xfrm rot="12738520">
          <a:off x="6943726" y="8515351"/>
          <a:ext cx="685800" cy="371475"/>
        </a:xfrm>
        <a:prstGeom prst="rightArrow">
          <a:avLst/>
        </a:prstGeom>
        <a:solidFill>
          <a:srgbClr val="00B05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2"/>
  <sheetViews>
    <sheetView zoomScaleNormal="100" workbookViewId="0">
      <selection activeCell="C2" sqref="C2"/>
    </sheetView>
  </sheetViews>
  <sheetFormatPr defaultColWidth="8.875" defaultRowHeight="13.5"/>
  <cols>
    <col min="1" max="1" width="2.625" style="3" customWidth="1"/>
    <col min="2" max="2" width="8.875" style="3"/>
    <col min="3" max="3" width="1.125" style="3" customWidth="1"/>
    <col min="4" max="4" width="3.5" style="15" bestFit="1" customWidth="1"/>
    <col min="5" max="5" width="14.5" style="3" customWidth="1"/>
    <col min="6" max="6" width="9.375" style="3" bestFit="1" customWidth="1"/>
    <col min="7" max="7" width="5.625" style="3" bestFit="1" customWidth="1"/>
    <col min="8" max="9" width="9.375" style="3" bestFit="1" customWidth="1"/>
    <col min="10" max="13" width="9" style="3" bestFit="1" customWidth="1"/>
    <col min="14" max="14" width="11.25" style="3" customWidth="1"/>
    <col min="15" max="15" width="1.875" style="3" customWidth="1"/>
    <col min="16" max="18" width="8.875" style="3"/>
    <col min="19" max="28" width="6.625" style="3" customWidth="1"/>
    <col min="29" max="16384" width="8.875" style="3"/>
  </cols>
  <sheetData>
    <row r="1" spans="3:24" ht="36" customHeight="1">
      <c r="C1" s="509" t="s">
        <v>167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</row>
    <row r="2" spans="3:24" s="151" customFormat="1" ht="18.75" customHeight="1">
      <c r="C2" s="204"/>
      <c r="D2" s="204"/>
      <c r="E2" s="280" t="s">
        <v>164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3:24" s="151" customFormat="1" ht="18.75" customHeight="1">
      <c r="C3" s="204"/>
      <c r="D3" s="204"/>
      <c r="E3" s="280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</row>
    <row r="4" spans="3:24" ht="18.75" customHeight="1">
      <c r="E4" s="268" t="s">
        <v>165</v>
      </c>
      <c r="F4" s="203"/>
      <c r="G4" s="203"/>
      <c r="H4" s="203"/>
      <c r="I4" s="203"/>
      <c r="J4" s="203"/>
      <c r="K4" s="203"/>
      <c r="L4" s="1"/>
      <c r="M4" s="1"/>
      <c r="N4" s="1"/>
      <c r="O4" s="1"/>
      <c r="P4" s="2"/>
      <c r="Q4" s="2"/>
      <c r="R4" s="2"/>
      <c r="S4" s="192"/>
      <c r="T4" s="192"/>
      <c r="U4" s="2"/>
      <c r="V4" s="2"/>
      <c r="W4" s="2"/>
      <c r="X4" s="2"/>
    </row>
    <row r="5" spans="3:24" ht="18.75" customHeight="1">
      <c r="E5" s="203"/>
      <c r="F5" s="203"/>
      <c r="G5" s="203"/>
      <c r="H5" s="203"/>
      <c r="I5" s="203"/>
      <c r="J5" s="203"/>
      <c r="K5" s="203"/>
      <c r="L5" s="1"/>
      <c r="M5" s="1"/>
      <c r="N5" s="1"/>
      <c r="O5" s="1"/>
      <c r="P5" s="2"/>
      <c r="Q5" s="2"/>
      <c r="R5" s="2"/>
      <c r="S5" s="192" t="s">
        <v>122</v>
      </c>
      <c r="T5" s="192" t="s">
        <v>126</v>
      </c>
      <c r="U5" s="2" t="s">
        <v>127</v>
      </c>
      <c r="V5" s="2"/>
      <c r="W5" s="2"/>
      <c r="X5" s="2"/>
    </row>
    <row r="6" spans="3:24">
      <c r="E6" s="1" t="s">
        <v>37</v>
      </c>
      <c r="F6" s="201" t="s">
        <v>128</v>
      </c>
      <c r="G6" s="10"/>
      <c r="H6" s="10"/>
      <c r="I6" s="18"/>
      <c r="J6" s="18"/>
      <c r="K6" s="18"/>
      <c r="S6" s="194">
        <f>I24</f>
        <v>13</v>
      </c>
      <c r="T6" s="194">
        <f>I23</f>
        <v>13</v>
      </c>
    </row>
    <row r="7" spans="3:24">
      <c r="E7" s="1" t="s">
        <v>36</v>
      </c>
      <c r="F7" s="201" t="s">
        <v>162</v>
      </c>
      <c r="G7" s="10"/>
      <c r="H7" s="10"/>
      <c r="I7" s="18"/>
      <c r="J7" s="18"/>
      <c r="K7" s="18"/>
      <c r="S7" s="184">
        <f>H38</f>
        <v>2</v>
      </c>
      <c r="T7" s="188" t="s">
        <v>117</v>
      </c>
      <c r="U7" s="179">
        <f>K39</f>
        <v>0.6</v>
      </c>
    </row>
    <row r="8" spans="3:24">
      <c r="E8" s="1" t="s">
        <v>35</v>
      </c>
      <c r="F8" s="202" t="s">
        <v>129</v>
      </c>
      <c r="G8" s="14" t="s">
        <v>38</v>
      </c>
      <c r="H8" s="202" t="s">
        <v>159</v>
      </c>
      <c r="I8" s="18"/>
      <c r="J8" s="18"/>
      <c r="K8" s="18"/>
      <c r="N8" s="5" t="s">
        <v>112</v>
      </c>
      <c r="O8" s="4"/>
      <c r="P8" s="4"/>
      <c r="Q8" s="4"/>
      <c r="R8" s="49"/>
      <c r="S8" s="183" t="s">
        <v>116</v>
      </c>
      <c r="T8" s="189" t="s">
        <v>119</v>
      </c>
      <c r="U8" s="179">
        <f>H39</f>
        <v>3</v>
      </c>
    </row>
    <row r="9" spans="3:24" ht="14.25" customHeight="1" thickBot="1">
      <c r="E9" s="1"/>
      <c r="F9" s="129"/>
      <c r="G9" s="130"/>
      <c r="H9" s="131"/>
      <c r="I9" s="18"/>
      <c r="J9" s="18"/>
      <c r="K9" s="18"/>
      <c r="M9" s="196"/>
      <c r="N9" s="5" t="s">
        <v>125</v>
      </c>
      <c r="O9" s="55"/>
      <c r="P9" s="5" t="s">
        <v>124</v>
      </c>
      <c r="Q9" s="5" t="s">
        <v>123</v>
      </c>
      <c r="R9" s="53"/>
      <c r="T9" s="194">
        <f>G39</f>
        <v>13</v>
      </c>
    </row>
    <row r="10" spans="3:24">
      <c r="E10" s="515" t="s">
        <v>109</v>
      </c>
      <c r="F10" s="516"/>
      <c r="G10" s="516"/>
      <c r="H10" s="516"/>
      <c r="I10" s="516"/>
      <c r="J10" s="516"/>
      <c r="K10" s="517"/>
      <c r="L10" s="174">
        <f t="shared" ref="L10" si="0">ROUND(J10+K10,2)</f>
        <v>0</v>
      </c>
      <c r="M10" s="494" t="s">
        <v>118</v>
      </c>
      <c r="N10" s="193">
        <f>I27</f>
        <v>13</v>
      </c>
      <c r="O10" s="55"/>
      <c r="P10" s="193">
        <f>I26</f>
        <v>20</v>
      </c>
      <c r="Q10" s="193">
        <f>I25</f>
        <v>13</v>
      </c>
      <c r="R10" s="187" t="s">
        <v>117</v>
      </c>
      <c r="S10" s="179">
        <f>K34</f>
        <v>3.6</v>
      </c>
    </row>
    <row r="11" spans="3:24">
      <c r="E11" s="154" t="s">
        <v>55</v>
      </c>
      <c r="F11" s="210">
        <f>$M$50+$L$53+$L$56+$L$59+$M$63+$M$67</f>
        <v>14.079999999999998</v>
      </c>
      <c r="G11" s="149" t="s">
        <v>107</v>
      </c>
      <c r="H11" s="212">
        <f>ROUND(F11*1.1,2)</f>
        <v>15.49</v>
      </c>
      <c r="I11" s="150" t="s">
        <v>108</v>
      </c>
      <c r="J11" s="206">
        <f>H11+$M$23</f>
        <v>15.49</v>
      </c>
      <c r="K11" s="207" t="str">
        <f>IF(H11="","",IF(J11&gt;H$18,IF(J11&lt;(H$18+1),"ＯＫ","ＮＧ"),"ＯＫ"))</f>
        <v>ＯＫ</v>
      </c>
      <c r="L11" s="175"/>
      <c r="M11" s="494"/>
      <c r="N11" s="186">
        <f>H35</f>
        <v>3</v>
      </c>
      <c r="O11" s="55"/>
      <c r="P11" s="186">
        <f>H36</f>
        <v>2</v>
      </c>
      <c r="Q11" s="185">
        <f>H37</f>
        <v>2</v>
      </c>
      <c r="R11" s="187" t="s">
        <v>119</v>
      </c>
      <c r="S11" s="179">
        <f>H34</f>
        <v>6</v>
      </c>
    </row>
    <row r="12" spans="3:24">
      <c r="E12" s="154" t="s">
        <v>40</v>
      </c>
      <c r="F12" s="210" t="e">
        <f>$M$53+$L$56+$L$59+$M$63+$M$67</f>
        <v>#VALUE!</v>
      </c>
      <c r="G12" s="149" t="s">
        <v>107</v>
      </c>
      <c r="H12" s="212" t="e">
        <f>ROUND(F12*1.1,2)</f>
        <v>#VALUE!</v>
      </c>
      <c r="I12" s="150" t="s">
        <v>108</v>
      </c>
      <c r="J12" s="206" t="e">
        <f>H12+$M$24</f>
        <v>#VALUE!</v>
      </c>
      <c r="K12" s="207" t="e">
        <f>IF(H12="","",IF(J12&gt;H$18,IF(J12&lt;(H$18+1),"ＯＫ","ＮＧ"),"ＯＫ"))</f>
        <v>#VALUE!</v>
      </c>
      <c r="L12" s="175"/>
      <c r="M12" s="195">
        <f>G40</f>
        <v>13</v>
      </c>
      <c r="N12" s="89" t="s">
        <v>111</v>
      </c>
      <c r="O12" s="54" t="s">
        <v>113</v>
      </c>
      <c r="P12" s="58"/>
      <c r="Q12" s="59" t="s">
        <v>114</v>
      </c>
      <c r="R12" s="177" t="s">
        <v>115</v>
      </c>
    </row>
    <row r="13" spans="3:24">
      <c r="E13" s="154" t="s">
        <v>30</v>
      </c>
      <c r="F13" s="210">
        <f>$M$56+$L$59+$M$63+$M$67</f>
        <v>14.27</v>
      </c>
      <c r="G13" s="149" t="s">
        <v>107</v>
      </c>
      <c r="H13" s="212">
        <f>ROUND(F13*1.1,2)</f>
        <v>15.7</v>
      </c>
      <c r="I13" s="150" t="s">
        <v>108</v>
      </c>
      <c r="J13" s="206">
        <f>H13+$M$25</f>
        <v>15.7</v>
      </c>
      <c r="K13" s="207" t="str">
        <f>IF(H13="","",IF(J13&gt;H$18,IF(J13&lt;(H$18+1),"ＯＫ","ＮＧ"),"ＯＫ"))</f>
        <v>ＯＫ</v>
      </c>
      <c r="L13" s="175"/>
      <c r="M13" s="176"/>
      <c r="N13" s="198">
        <f>G31</f>
        <v>20</v>
      </c>
      <c r="O13" s="55"/>
      <c r="P13" s="200">
        <f>G32</f>
        <v>20</v>
      </c>
      <c r="Q13" s="200">
        <f>G33</f>
        <v>20</v>
      </c>
      <c r="R13" s="194">
        <f>G34</f>
        <v>20</v>
      </c>
    </row>
    <row r="14" spans="3:24">
      <c r="E14" s="154" t="s">
        <v>31</v>
      </c>
      <c r="F14" s="210">
        <f>$M$59+$M$63+$M$67</f>
        <v>14.93</v>
      </c>
      <c r="G14" s="149" t="s">
        <v>107</v>
      </c>
      <c r="H14" s="212">
        <f>ROUND(F14*1.1,2)</f>
        <v>16.420000000000002</v>
      </c>
      <c r="I14" s="150" t="s">
        <v>108</v>
      </c>
      <c r="J14" s="206">
        <f>H14+$M$26</f>
        <v>23.42</v>
      </c>
      <c r="K14" s="207" t="str">
        <f>IF(H14="","",IF(J14&gt;H$18,IF(J14&lt;(H$18+1),"ＯＫ","ＮＧ"),"ＯＫ"))</f>
        <v>ＯＫ</v>
      </c>
      <c r="L14" s="180" t="s">
        <v>71</v>
      </c>
      <c r="M14" s="199">
        <f>G30</f>
        <v>20</v>
      </c>
      <c r="N14" s="182">
        <f>H31</f>
        <v>10</v>
      </c>
      <c r="O14" s="55"/>
      <c r="P14" s="181">
        <f>H32</f>
        <v>0.5</v>
      </c>
      <c r="Q14" s="181">
        <f>H33</f>
        <v>0.5</v>
      </c>
      <c r="R14" s="55"/>
    </row>
    <row r="15" spans="3:24" ht="14.25" thickBot="1">
      <c r="E15" s="166" t="s">
        <v>32</v>
      </c>
      <c r="F15" s="211" t="e">
        <f>$M$61+$M$63+$M$67</f>
        <v>#VALUE!</v>
      </c>
      <c r="G15" s="167" t="s">
        <v>107</v>
      </c>
      <c r="H15" s="213" t="e">
        <f>ROUND(F15*1.1,2)</f>
        <v>#VALUE!</v>
      </c>
      <c r="I15" s="168" t="s">
        <v>108</v>
      </c>
      <c r="J15" s="208" t="e">
        <f>H15+$M$27</f>
        <v>#VALUE!</v>
      </c>
      <c r="K15" s="209" t="e">
        <f>IF(H15="","",IF(J15&gt;H$18,IF(J15&lt;(H$18+1),"ＯＫ","ＮＧ"),"ＯＫ"))</f>
        <v>#VALUE!</v>
      </c>
      <c r="L15" s="197">
        <f>G42</f>
        <v>20</v>
      </c>
      <c r="M15" s="190" t="s">
        <v>117</v>
      </c>
      <c r="N15" s="178">
        <f>K30</f>
        <v>1.1000000000000001</v>
      </c>
      <c r="O15" s="55"/>
      <c r="P15" s="55"/>
      <c r="Q15" s="55"/>
      <c r="R15" s="55"/>
    </row>
    <row r="16" spans="3:24">
      <c r="E16" s="1"/>
      <c r="F16" s="129"/>
      <c r="G16" s="130"/>
      <c r="H16" s="131"/>
      <c r="I16" s="18"/>
      <c r="J16" s="18"/>
      <c r="K16" s="18"/>
      <c r="L16" s="5" t="s">
        <v>120</v>
      </c>
      <c r="M16" s="191" t="s">
        <v>121</v>
      </c>
      <c r="N16" s="179">
        <f>H30</f>
        <v>5</v>
      </c>
      <c r="O16" s="55"/>
      <c r="P16" s="55"/>
      <c r="Q16" s="55"/>
      <c r="R16" s="55"/>
    </row>
    <row r="17" spans="1:30" ht="14.25" thickBot="1">
      <c r="D17" s="518" t="s">
        <v>87</v>
      </c>
      <c r="E17" s="519"/>
      <c r="F17" s="519"/>
      <c r="G17" s="519"/>
      <c r="H17" s="519"/>
      <c r="I17" s="520"/>
      <c r="K17" s="205" t="s">
        <v>130</v>
      </c>
      <c r="Q17" s="4"/>
      <c r="R17" s="4"/>
      <c r="S17" s="18"/>
      <c r="T17" s="18"/>
      <c r="U17" s="18"/>
      <c r="V17" s="18"/>
      <c r="W17" s="18"/>
      <c r="X17" s="18"/>
      <c r="Y17" s="18"/>
      <c r="Z17" s="18"/>
    </row>
    <row r="18" spans="1:30" ht="14.25" thickBot="1">
      <c r="D18" s="473" t="s">
        <v>49</v>
      </c>
      <c r="E18" s="476" t="s">
        <v>0</v>
      </c>
      <c r="F18" s="455" t="s">
        <v>65</v>
      </c>
      <c r="G18" s="456"/>
      <c r="H18" s="77">
        <v>25</v>
      </c>
      <c r="I18" s="12" t="s">
        <v>81</v>
      </c>
      <c r="J18" s="90"/>
      <c r="K18" s="18"/>
      <c r="P18" s="470" t="s">
        <v>88</v>
      </c>
      <c r="Q18" s="510"/>
      <c r="R18" s="510"/>
      <c r="S18" s="510"/>
      <c r="T18" s="510"/>
      <c r="U18" s="510"/>
      <c r="V18" s="510"/>
      <c r="W18" s="510"/>
      <c r="X18" s="511"/>
      <c r="Y18" s="48"/>
      <c r="Z18" s="48"/>
    </row>
    <row r="19" spans="1:30">
      <c r="D19" s="474"/>
      <c r="E19" s="477"/>
      <c r="F19" s="455" t="s">
        <v>66</v>
      </c>
      <c r="G19" s="456"/>
      <c r="H19" s="77">
        <v>10</v>
      </c>
      <c r="I19" s="12" t="s">
        <v>67</v>
      </c>
      <c r="J19" s="90"/>
      <c r="P19" s="124" t="s">
        <v>50</v>
      </c>
      <c r="Q19" s="125"/>
      <c r="R19" s="125"/>
      <c r="S19" s="125"/>
      <c r="T19" s="125"/>
      <c r="U19" s="125"/>
      <c r="V19" s="125"/>
      <c r="W19" s="125"/>
      <c r="X19" s="126"/>
      <c r="Z19" s="48"/>
    </row>
    <row r="20" spans="1:30">
      <c r="D20" s="475"/>
      <c r="E20" s="478"/>
      <c r="F20" s="455" t="s">
        <v>68</v>
      </c>
      <c r="G20" s="456"/>
      <c r="H20" s="77">
        <v>3</v>
      </c>
      <c r="I20" s="12" t="s">
        <v>1</v>
      </c>
      <c r="J20" s="91"/>
      <c r="P20" s="107"/>
      <c r="Q20" s="9"/>
      <c r="R20" s="451" t="s">
        <v>4</v>
      </c>
      <c r="S20" s="56" t="s">
        <v>10</v>
      </c>
      <c r="T20" s="56" t="s">
        <v>10</v>
      </c>
      <c r="U20" s="481">
        <v>13</v>
      </c>
      <c r="V20" s="481">
        <v>20</v>
      </c>
      <c r="W20" s="481">
        <v>25</v>
      </c>
      <c r="X20" s="521">
        <v>40</v>
      </c>
      <c r="Z20" s="48"/>
    </row>
    <row r="21" spans="1:30">
      <c r="D21" s="473" t="s">
        <v>47</v>
      </c>
      <c r="E21" s="476" t="s">
        <v>8</v>
      </c>
      <c r="F21" s="451" t="s">
        <v>26</v>
      </c>
      <c r="G21" s="453" t="s">
        <v>29</v>
      </c>
      <c r="H21" s="451"/>
      <c r="I21" s="6" t="s">
        <v>4</v>
      </c>
      <c r="J21" s="6" t="s">
        <v>5</v>
      </c>
      <c r="K21" s="481" t="s">
        <v>75</v>
      </c>
      <c r="L21" s="481"/>
      <c r="M21" s="481" t="s">
        <v>74</v>
      </c>
      <c r="N21" s="514" t="s">
        <v>76</v>
      </c>
      <c r="P21" s="504" t="s">
        <v>19</v>
      </c>
      <c r="Q21" s="8"/>
      <c r="R21" s="488"/>
      <c r="S21" s="512" t="s">
        <v>24</v>
      </c>
      <c r="T21" s="512" t="s">
        <v>51</v>
      </c>
      <c r="U21" s="481"/>
      <c r="V21" s="481"/>
      <c r="W21" s="481"/>
      <c r="X21" s="521"/>
      <c r="Z21" s="48"/>
    </row>
    <row r="22" spans="1:30" s="4" customFormat="1" ht="14.25" customHeight="1">
      <c r="A22" s="70"/>
      <c r="B22" s="70"/>
      <c r="D22" s="474"/>
      <c r="E22" s="477"/>
      <c r="F22" s="452"/>
      <c r="G22" s="454"/>
      <c r="H22" s="452"/>
      <c r="I22" s="7" t="s">
        <v>23</v>
      </c>
      <c r="J22" s="7" t="s">
        <v>6</v>
      </c>
      <c r="K22" s="481"/>
      <c r="L22" s="481"/>
      <c r="M22" s="481"/>
      <c r="N22" s="514"/>
      <c r="O22" s="80"/>
      <c r="P22" s="505"/>
      <c r="Q22" s="10"/>
      <c r="R22" s="11"/>
      <c r="S22" s="513"/>
      <c r="T22" s="513"/>
      <c r="U22" s="481"/>
      <c r="V22" s="481"/>
      <c r="W22" s="481"/>
      <c r="X22" s="521"/>
      <c r="Y22" s="3"/>
      <c r="Z22" s="48"/>
      <c r="AA22" s="3"/>
      <c r="AB22" s="3"/>
      <c r="AC22" s="3"/>
    </row>
    <row r="23" spans="1:30" ht="13.5" customHeight="1">
      <c r="D23" s="474"/>
      <c r="E23" s="477"/>
      <c r="F23" s="51" t="s">
        <v>45</v>
      </c>
      <c r="G23" s="457" t="s">
        <v>25</v>
      </c>
      <c r="H23" s="457"/>
      <c r="I23" s="78">
        <v>13</v>
      </c>
      <c r="J23" s="78">
        <v>8</v>
      </c>
      <c r="K23" s="479" t="s">
        <v>139</v>
      </c>
      <c r="L23" s="479"/>
      <c r="M23" s="79">
        <v>0</v>
      </c>
      <c r="N23" s="81"/>
      <c r="O23" s="80"/>
      <c r="P23" s="506" t="str">
        <f>"　給水栓 "&amp;F23</f>
        <v>　給水栓 E</v>
      </c>
      <c r="Q23" s="507"/>
      <c r="R23" s="508"/>
      <c r="S23" s="102">
        <f t="shared" ref="S23:S28" si="1">J23</f>
        <v>8</v>
      </c>
      <c r="T23" s="28">
        <f t="shared" ref="T23:T30" si="2">S23/60</f>
        <v>0.13333333333333333</v>
      </c>
      <c r="U23" s="43">
        <f>X33</f>
        <v>0.4</v>
      </c>
      <c r="V23" s="43">
        <f>X34</f>
        <v>0.1</v>
      </c>
      <c r="W23" s="43">
        <f>X35</f>
        <v>0</v>
      </c>
      <c r="X23" s="109"/>
      <c r="Y23" s="17"/>
      <c r="Z23" s="48"/>
    </row>
    <row r="24" spans="1:30">
      <c r="D24" s="474"/>
      <c r="E24" s="477"/>
      <c r="F24" s="51" t="s">
        <v>43</v>
      </c>
      <c r="G24" s="457" t="s">
        <v>2</v>
      </c>
      <c r="H24" s="457"/>
      <c r="I24" s="78">
        <v>13</v>
      </c>
      <c r="J24" s="78"/>
      <c r="K24" s="457"/>
      <c r="L24" s="457"/>
      <c r="M24" s="79">
        <v>0</v>
      </c>
      <c r="N24" s="81"/>
      <c r="P24" s="482" t="str">
        <f>"　給水栓 "&amp;F24</f>
        <v>　給水栓 D</v>
      </c>
      <c r="Q24" s="483"/>
      <c r="R24" s="484"/>
      <c r="S24" s="104">
        <f t="shared" si="1"/>
        <v>0</v>
      </c>
      <c r="T24" s="29">
        <f t="shared" si="2"/>
        <v>0</v>
      </c>
      <c r="U24" s="44" t="str">
        <f>X36</f>
        <v/>
      </c>
      <c r="V24" s="44" t="str">
        <f>X37</f>
        <v/>
      </c>
      <c r="W24" s="44" t="str">
        <f>X38</f>
        <v/>
      </c>
      <c r="X24" s="109"/>
      <c r="Y24" s="17"/>
      <c r="Z24" s="48"/>
    </row>
    <row r="25" spans="1:30">
      <c r="D25" s="474"/>
      <c r="E25" s="477"/>
      <c r="F25" s="51" t="s">
        <v>44</v>
      </c>
      <c r="G25" s="457" t="s">
        <v>2</v>
      </c>
      <c r="H25" s="457"/>
      <c r="I25" s="78">
        <v>13</v>
      </c>
      <c r="J25" s="78">
        <v>8</v>
      </c>
      <c r="K25" s="479" t="s">
        <v>139</v>
      </c>
      <c r="L25" s="479"/>
      <c r="M25" s="79">
        <v>0</v>
      </c>
      <c r="N25" s="491" t="s">
        <v>77</v>
      </c>
      <c r="P25" s="485" t="str">
        <f>"　給水栓 "&amp;F25</f>
        <v>　給水栓 C</v>
      </c>
      <c r="Q25" s="486"/>
      <c r="R25" s="487"/>
      <c r="S25" s="105">
        <f t="shared" si="1"/>
        <v>8</v>
      </c>
      <c r="T25" s="38">
        <f t="shared" si="2"/>
        <v>0.13333333333333333</v>
      </c>
      <c r="U25" s="45">
        <f>X39</f>
        <v>0.4</v>
      </c>
      <c r="V25" s="45">
        <f>X40</f>
        <v>0.1</v>
      </c>
      <c r="W25" s="45">
        <f>X41</f>
        <v>0</v>
      </c>
      <c r="X25" s="109"/>
      <c r="Y25" s="17"/>
      <c r="Z25" s="48"/>
    </row>
    <row r="26" spans="1:30">
      <c r="D26" s="474"/>
      <c r="E26" s="477"/>
      <c r="F26" s="51" t="s">
        <v>41</v>
      </c>
      <c r="G26" s="457" t="s">
        <v>3</v>
      </c>
      <c r="H26" s="457"/>
      <c r="I26" s="78">
        <v>20</v>
      </c>
      <c r="J26" s="78">
        <v>20</v>
      </c>
      <c r="K26" s="457" t="s">
        <v>69</v>
      </c>
      <c r="L26" s="457"/>
      <c r="M26" s="79">
        <v>7</v>
      </c>
      <c r="N26" s="492"/>
      <c r="P26" s="501" t="str">
        <f>"　給水栓 "&amp;F26</f>
        <v>　給水栓 B</v>
      </c>
      <c r="Q26" s="502"/>
      <c r="R26" s="503"/>
      <c r="S26" s="106">
        <f t="shared" si="1"/>
        <v>20</v>
      </c>
      <c r="T26" s="30">
        <f t="shared" si="2"/>
        <v>0.33333333333333331</v>
      </c>
      <c r="U26" s="46">
        <f>X42</f>
        <v>2</v>
      </c>
      <c r="V26" s="46">
        <f>X43</f>
        <v>0.6</v>
      </c>
      <c r="W26" s="46">
        <f>X44</f>
        <v>0.2</v>
      </c>
      <c r="X26" s="109"/>
      <c r="Y26" s="17"/>
      <c r="Z26" s="48"/>
    </row>
    <row r="27" spans="1:30">
      <c r="D27" s="474"/>
      <c r="E27" s="477"/>
      <c r="F27" s="51" t="s">
        <v>39</v>
      </c>
      <c r="G27" s="468" t="s">
        <v>25</v>
      </c>
      <c r="H27" s="469"/>
      <c r="I27" s="78">
        <v>13</v>
      </c>
      <c r="J27" s="78"/>
      <c r="K27" s="457"/>
      <c r="L27" s="457"/>
      <c r="M27" s="79">
        <v>0</v>
      </c>
      <c r="N27" s="493"/>
      <c r="P27" s="461" t="str">
        <f>"　給水栓 "&amp;F27</f>
        <v>　給水栓 A</v>
      </c>
      <c r="Q27" s="462"/>
      <c r="R27" s="463"/>
      <c r="S27" s="39">
        <f t="shared" si="1"/>
        <v>0</v>
      </c>
      <c r="T27" s="39">
        <f t="shared" si="2"/>
        <v>0</v>
      </c>
      <c r="U27" s="47" t="str">
        <f>X45</f>
        <v/>
      </c>
      <c r="V27" s="47" t="str">
        <f>X46</f>
        <v/>
      </c>
      <c r="W27" s="47" t="str">
        <f>X47</f>
        <v/>
      </c>
      <c r="X27" s="109"/>
      <c r="Y27" s="17"/>
      <c r="Z27" s="48"/>
    </row>
    <row r="28" spans="1:30">
      <c r="D28" s="475"/>
      <c r="E28" s="478"/>
      <c r="F28" s="84"/>
      <c r="G28" s="480"/>
      <c r="H28" s="456"/>
      <c r="I28" s="52" t="s">
        <v>7</v>
      </c>
      <c r="J28" s="52">
        <f>SUM(J23:J27)</f>
        <v>36</v>
      </c>
      <c r="K28" s="455"/>
      <c r="L28" s="480"/>
      <c r="M28" s="85"/>
      <c r="N28" s="86"/>
      <c r="P28" s="464" t="s">
        <v>20</v>
      </c>
      <c r="Q28" s="465"/>
      <c r="R28" s="466"/>
      <c r="S28" s="103">
        <f t="shared" si="1"/>
        <v>36</v>
      </c>
      <c r="T28" s="20">
        <f t="shared" si="2"/>
        <v>0.6</v>
      </c>
      <c r="U28" s="21">
        <f>X48</f>
        <v>4.5999999999999996</v>
      </c>
      <c r="V28" s="21">
        <f>X49</f>
        <v>1.4</v>
      </c>
      <c r="W28" s="21">
        <f>X50</f>
        <v>1.1000000000000001</v>
      </c>
      <c r="X28" s="109">
        <f>X51</f>
        <v>0.2</v>
      </c>
      <c r="Y28" s="17"/>
      <c r="Z28" s="48"/>
      <c r="AD28" s="13"/>
    </row>
    <row r="29" spans="1:30">
      <c r="D29" s="473" t="s">
        <v>48</v>
      </c>
      <c r="E29" s="476" t="s">
        <v>70</v>
      </c>
      <c r="F29" s="52" t="s">
        <v>91</v>
      </c>
      <c r="G29" s="52" t="s">
        <v>78</v>
      </c>
      <c r="H29" s="51" t="s">
        <v>83</v>
      </c>
      <c r="I29" s="455" t="s">
        <v>80</v>
      </c>
      <c r="J29" s="456"/>
      <c r="K29" s="52" t="s">
        <v>82</v>
      </c>
      <c r="L29" s="49"/>
      <c r="M29" s="18"/>
      <c r="N29" s="18"/>
      <c r="P29" s="464" t="s">
        <v>21</v>
      </c>
      <c r="Q29" s="465"/>
      <c r="R29" s="466"/>
      <c r="S29" s="103">
        <f>S28</f>
        <v>36</v>
      </c>
      <c r="T29" s="20">
        <f t="shared" si="2"/>
        <v>0.6</v>
      </c>
      <c r="U29" s="21">
        <f>71</f>
        <v>71</v>
      </c>
      <c r="V29" s="21">
        <f>X53</f>
        <v>1.8</v>
      </c>
      <c r="W29" s="21">
        <f>X54</f>
        <v>0.7</v>
      </c>
      <c r="X29" s="109"/>
      <c r="Y29" s="17"/>
      <c r="Z29" s="48"/>
      <c r="AD29" s="13"/>
    </row>
    <row r="30" spans="1:30">
      <c r="D30" s="474"/>
      <c r="E30" s="477"/>
      <c r="F30" s="52" t="s">
        <v>92</v>
      </c>
      <c r="G30" s="78">
        <v>20</v>
      </c>
      <c r="H30" s="82">
        <v>5</v>
      </c>
      <c r="I30" s="87"/>
      <c r="J30" s="88"/>
      <c r="K30" s="78">
        <v>1.1000000000000001</v>
      </c>
      <c r="P30" s="464" t="s">
        <v>22</v>
      </c>
      <c r="Q30" s="465"/>
      <c r="R30" s="466"/>
      <c r="S30" s="103">
        <f>S29</f>
        <v>36</v>
      </c>
      <c r="T30" s="20">
        <f t="shared" si="2"/>
        <v>0.6</v>
      </c>
      <c r="U30" s="21">
        <f>X55</f>
        <v>4.5</v>
      </c>
      <c r="V30" s="21">
        <f>X56</f>
        <v>0.6</v>
      </c>
      <c r="W30" s="21">
        <f>X57</f>
        <v>0.3</v>
      </c>
      <c r="X30" s="109"/>
      <c r="Y30" s="17"/>
      <c r="Z30" s="48"/>
      <c r="AD30" s="13"/>
    </row>
    <row r="31" spans="1:30" ht="14.25" thickBot="1">
      <c r="D31" s="474"/>
      <c r="E31" s="477"/>
      <c r="F31" s="52" t="s">
        <v>93</v>
      </c>
      <c r="G31" s="78">
        <v>20</v>
      </c>
      <c r="H31" s="82">
        <v>10</v>
      </c>
      <c r="I31" s="87"/>
      <c r="J31" s="88"/>
      <c r="K31" s="78"/>
      <c r="P31" s="127" t="s">
        <v>86</v>
      </c>
      <c r="Q31" s="128"/>
      <c r="R31" s="125"/>
      <c r="S31" s="125"/>
      <c r="T31" s="125"/>
      <c r="U31" s="125"/>
      <c r="V31" s="125"/>
      <c r="W31" s="125"/>
      <c r="X31" s="126"/>
      <c r="Z31" s="48"/>
      <c r="AD31" s="13"/>
    </row>
    <row r="32" spans="1:30" ht="14.25" thickTop="1">
      <c r="D32" s="474"/>
      <c r="E32" s="477"/>
      <c r="F32" s="52" t="s">
        <v>94</v>
      </c>
      <c r="G32" s="78">
        <v>20</v>
      </c>
      <c r="H32" s="82">
        <v>0.5</v>
      </c>
      <c r="I32" s="87" t="s">
        <v>79</v>
      </c>
      <c r="J32" s="88"/>
      <c r="K32" s="78"/>
      <c r="P32" s="458"/>
      <c r="Q32" s="456"/>
      <c r="R32" s="52"/>
      <c r="S32" s="52" t="s">
        <v>57</v>
      </c>
      <c r="T32" s="52" t="s">
        <v>58</v>
      </c>
      <c r="U32" s="52" t="s">
        <v>84</v>
      </c>
      <c r="V32" s="52" t="s">
        <v>59</v>
      </c>
      <c r="W32" s="50" t="s">
        <v>60</v>
      </c>
      <c r="X32" s="112" t="s">
        <v>85</v>
      </c>
      <c r="Y32" s="55"/>
      <c r="Z32" s="48"/>
      <c r="AD32" s="13"/>
    </row>
    <row r="33" spans="4:30">
      <c r="D33" s="474"/>
      <c r="E33" s="477"/>
      <c r="F33" s="52" t="s">
        <v>95</v>
      </c>
      <c r="G33" s="78">
        <v>20</v>
      </c>
      <c r="H33" s="82">
        <v>0.5</v>
      </c>
      <c r="I33" s="87" t="s">
        <v>79</v>
      </c>
      <c r="J33" s="88"/>
      <c r="K33" s="78"/>
      <c r="P33" s="459" t="str">
        <f>P23</f>
        <v>　給水栓 E</v>
      </c>
      <c r="Q33" s="460"/>
      <c r="R33" s="22">
        <v>13</v>
      </c>
      <c r="S33" s="23">
        <v>1.8340000000000001</v>
      </c>
      <c r="T33" s="23">
        <v>1.1850000000000001</v>
      </c>
      <c r="U33" s="95">
        <f>T23</f>
        <v>0.13333333333333333</v>
      </c>
      <c r="V33" s="23">
        <f t="shared" ref="V33:V57" si="3">LOG10(U33)</f>
        <v>-0.87506126339170009</v>
      </c>
      <c r="W33" s="31">
        <f>S33*V33+T33</f>
        <v>-0.41986235706037789</v>
      </c>
      <c r="X33" s="113">
        <f>IF(U33&lt;=0,"",ROUND(10^W33,1))</f>
        <v>0.4</v>
      </c>
      <c r="Y33" s="55"/>
      <c r="Z33" s="48"/>
      <c r="AD33" s="13"/>
    </row>
    <row r="34" spans="4:30">
      <c r="D34" s="474"/>
      <c r="E34" s="477"/>
      <c r="F34" s="52" t="s">
        <v>96</v>
      </c>
      <c r="G34" s="78">
        <v>20</v>
      </c>
      <c r="H34" s="82">
        <v>6</v>
      </c>
      <c r="I34" s="87"/>
      <c r="J34" s="88"/>
      <c r="K34" s="82">
        <v>3.6</v>
      </c>
      <c r="P34" s="459" t="str">
        <f>P33</f>
        <v>　給水栓 E</v>
      </c>
      <c r="Q34" s="460"/>
      <c r="R34" s="22">
        <v>20</v>
      </c>
      <c r="S34" s="23">
        <v>2</v>
      </c>
      <c r="T34" s="23">
        <v>0.69899999999999995</v>
      </c>
      <c r="U34" s="95">
        <f>U33</f>
        <v>0.13333333333333333</v>
      </c>
      <c r="V34" s="23">
        <f t="shared" si="3"/>
        <v>-0.87506126339170009</v>
      </c>
      <c r="W34" s="31">
        <f>S34*V34+T34</f>
        <v>-1.0511225267834003</v>
      </c>
      <c r="X34" s="113">
        <f t="shared" ref="X34:X57" si="4">IF(U34&lt;=0,"",ROUND(10^W34,1))</f>
        <v>0.1</v>
      </c>
      <c r="Y34" s="55"/>
      <c r="Z34" s="48"/>
      <c r="AD34" s="13"/>
    </row>
    <row r="35" spans="4:30">
      <c r="D35" s="474"/>
      <c r="E35" s="477"/>
      <c r="F35" s="52" t="s">
        <v>97</v>
      </c>
      <c r="G35" s="78">
        <v>13</v>
      </c>
      <c r="H35" s="82">
        <v>3</v>
      </c>
      <c r="I35" s="87"/>
      <c r="J35" s="88"/>
      <c r="K35" s="82">
        <v>0.6</v>
      </c>
      <c r="P35" s="459" t="str">
        <f>P34</f>
        <v>　給水栓 E</v>
      </c>
      <c r="Q35" s="460"/>
      <c r="R35" s="22">
        <v>25</v>
      </c>
      <c r="S35" s="23">
        <v>2.0977999999999999</v>
      </c>
      <c r="T35" s="23">
        <v>0.2792</v>
      </c>
      <c r="U35" s="95">
        <f>U34</f>
        <v>0.13333333333333333</v>
      </c>
      <c r="V35" s="23">
        <f t="shared" si="3"/>
        <v>-0.87506126339170009</v>
      </c>
      <c r="W35" s="31">
        <f>S35*V35+T35</f>
        <v>-1.5565035183431082</v>
      </c>
      <c r="X35" s="113">
        <f t="shared" si="4"/>
        <v>0</v>
      </c>
      <c r="Y35" s="55"/>
      <c r="Z35" s="48"/>
      <c r="AD35" s="13"/>
    </row>
    <row r="36" spans="4:30">
      <c r="D36" s="474"/>
      <c r="E36" s="477"/>
      <c r="F36" s="52" t="s">
        <v>98</v>
      </c>
      <c r="G36" s="78">
        <v>13</v>
      </c>
      <c r="H36" s="82">
        <v>2</v>
      </c>
      <c r="I36" s="87"/>
      <c r="J36" s="88"/>
      <c r="K36" s="82">
        <v>0.6</v>
      </c>
      <c r="P36" s="449" t="str">
        <f>P24</f>
        <v>　給水栓 D</v>
      </c>
      <c r="Q36" s="450"/>
      <c r="R36" s="24">
        <v>13</v>
      </c>
      <c r="S36" s="25">
        <v>1.8340000000000001</v>
      </c>
      <c r="T36" s="25">
        <v>1.1850000000000001</v>
      </c>
      <c r="U36" s="96">
        <f>T24</f>
        <v>0</v>
      </c>
      <c r="V36" s="25" t="e">
        <f t="shared" si="3"/>
        <v>#NUM!</v>
      </c>
      <c r="W36" s="32" t="e">
        <f t="shared" ref="W36:W57" si="5">S36*V36+T36</f>
        <v>#NUM!</v>
      </c>
      <c r="X36" s="115" t="str">
        <f t="shared" si="4"/>
        <v/>
      </c>
      <c r="Y36" s="55"/>
      <c r="Z36" s="48"/>
      <c r="AD36" s="13"/>
    </row>
    <row r="37" spans="4:30">
      <c r="D37" s="474"/>
      <c r="E37" s="477"/>
      <c r="F37" s="52" t="s">
        <v>99</v>
      </c>
      <c r="G37" s="78">
        <v>20</v>
      </c>
      <c r="H37" s="82">
        <v>2</v>
      </c>
      <c r="I37" s="87"/>
      <c r="J37" s="88"/>
      <c r="K37" s="82">
        <v>1</v>
      </c>
      <c r="P37" s="449" t="str">
        <f>P36</f>
        <v>　給水栓 D</v>
      </c>
      <c r="Q37" s="450"/>
      <c r="R37" s="24">
        <v>20</v>
      </c>
      <c r="S37" s="25">
        <v>2</v>
      </c>
      <c r="T37" s="25">
        <v>0.69899999999999995</v>
      </c>
      <c r="U37" s="96">
        <f>U36</f>
        <v>0</v>
      </c>
      <c r="V37" s="25" t="e">
        <f t="shared" si="3"/>
        <v>#NUM!</v>
      </c>
      <c r="W37" s="32" t="e">
        <f t="shared" si="5"/>
        <v>#NUM!</v>
      </c>
      <c r="X37" s="115" t="str">
        <f t="shared" si="4"/>
        <v/>
      </c>
      <c r="Y37" s="55"/>
      <c r="Z37" s="48"/>
      <c r="AD37" s="13"/>
    </row>
    <row r="38" spans="4:30">
      <c r="D38" s="474"/>
      <c r="E38" s="477"/>
      <c r="F38" s="52" t="s">
        <v>100</v>
      </c>
      <c r="G38" s="78">
        <v>13</v>
      </c>
      <c r="H38" s="82">
        <v>2</v>
      </c>
      <c r="I38" s="87"/>
      <c r="J38" s="88"/>
      <c r="K38" s="82">
        <v>1</v>
      </c>
      <c r="P38" s="449" t="str">
        <f>P37</f>
        <v>　給水栓 D</v>
      </c>
      <c r="Q38" s="450"/>
      <c r="R38" s="24">
        <v>25</v>
      </c>
      <c r="S38" s="25">
        <v>2.0977999999999999</v>
      </c>
      <c r="T38" s="25">
        <v>0.2792</v>
      </c>
      <c r="U38" s="96">
        <f>U37</f>
        <v>0</v>
      </c>
      <c r="V38" s="25" t="e">
        <f t="shared" si="3"/>
        <v>#NUM!</v>
      </c>
      <c r="W38" s="32" t="e">
        <f t="shared" si="5"/>
        <v>#NUM!</v>
      </c>
      <c r="X38" s="115" t="str">
        <f t="shared" si="4"/>
        <v/>
      </c>
      <c r="Y38" s="55"/>
      <c r="Z38" s="48"/>
      <c r="AD38" s="13"/>
    </row>
    <row r="39" spans="4:30">
      <c r="D39" s="474"/>
      <c r="E39" s="477"/>
      <c r="F39" s="52" t="s">
        <v>101</v>
      </c>
      <c r="G39" s="78">
        <v>13</v>
      </c>
      <c r="H39" s="82">
        <v>3</v>
      </c>
      <c r="I39" s="87"/>
      <c r="J39" s="88"/>
      <c r="K39" s="82">
        <v>0.6</v>
      </c>
      <c r="P39" s="499" t="str">
        <f>P25</f>
        <v>　給水栓 C</v>
      </c>
      <c r="Q39" s="500"/>
      <c r="R39" s="35">
        <v>13</v>
      </c>
      <c r="S39" s="36">
        <v>1.8340000000000001</v>
      </c>
      <c r="T39" s="36">
        <v>1.1850000000000001</v>
      </c>
      <c r="U39" s="97">
        <f>T25</f>
        <v>0.13333333333333333</v>
      </c>
      <c r="V39" s="36">
        <f t="shared" si="3"/>
        <v>-0.87506126339170009</v>
      </c>
      <c r="W39" s="37">
        <f>S39*V39+T39</f>
        <v>-0.41986235706037789</v>
      </c>
      <c r="X39" s="116">
        <f t="shared" si="4"/>
        <v>0.4</v>
      </c>
      <c r="Y39" s="55"/>
      <c r="Z39" s="48"/>
      <c r="AD39" s="13"/>
    </row>
    <row r="40" spans="4:30">
      <c r="D40" s="474"/>
      <c r="E40" s="477"/>
      <c r="F40" s="52" t="s">
        <v>73</v>
      </c>
      <c r="G40" s="78">
        <v>13</v>
      </c>
      <c r="H40" s="83"/>
      <c r="I40" s="92"/>
      <c r="J40" s="93"/>
      <c r="K40" s="94"/>
      <c r="P40" s="499" t="str">
        <f>P39</f>
        <v>　給水栓 C</v>
      </c>
      <c r="Q40" s="500"/>
      <c r="R40" s="35">
        <v>20</v>
      </c>
      <c r="S40" s="36">
        <v>2</v>
      </c>
      <c r="T40" s="36">
        <v>0.69899999999999995</v>
      </c>
      <c r="U40" s="97">
        <f>U39</f>
        <v>0.13333333333333333</v>
      </c>
      <c r="V40" s="36">
        <f t="shared" si="3"/>
        <v>-0.87506126339170009</v>
      </c>
      <c r="W40" s="37">
        <f t="shared" si="5"/>
        <v>-1.0511225267834003</v>
      </c>
      <c r="X40" s="116">
        <f>IF(U40&lt;=0,"",ROUND(10^W40,1))</f>
        <v>0.1</v>
      </c>
      <c r="Y40" s="55"/>
      <c r="Z40" s="48"/>
      <c r="AD40" s="13"/>
    </row>
    <row r="41" spans="4:30">
      <c r="D41" s="474"/>
      <c r="E41" s="477"/>
      <c r="F41" s="52" t="s">
        <v>72</v>
      </c>
      <c r="G41" s="78">
        <v>20</v>
      </c>
      <c r="H41" s="83"/>
      <c r="I41" s="92"/>
      <c r="J41" s="93"/>
      <c r="K41" s="94"/>
      <c r="P41" s="499" t="str">
        <f>P40</f>
        <v>　給水栓 C</v>
      </c>
      <c r="Q41" s="500"/>
      <c r="R41" s="35">
        <v>25</v>
      </c>
      <c r="S41" s="36">
        <v>2.0977999999999999</v>
      </c>
      <c r="T41" s="36">
        <v>0.2792</v>
      </c>
      <c r="U41" s="97">
        <f>U40</f>
        <v>0.13333333333333333</v>
      </c>
      <c r="V41" s="36">
        <f t="shared" si="3"/>
        <v>-0.87506126339170009</v>
      </c>
      <c r="W41" s="37">
        <f t="shared" si="5"/>
        <v>-1.5565035183431082</v>
      </c>
      <c r="X41" s="116">
        <f t="shared" si="4"/>
        <v>0</v>
      </c>
      <c r="Y41" s="55"/>
      <c r="Z41" s="48"/>
      <c r="AD41" s="13"/>
    </row>
    <row r="42" spans="4:30">
      <c r="D42" s="475"/>
      <c r="E42" s="478"/>
      <c r="F42" s="52" t="s">
        <v>71</v>
      </c>
      <c r="G42" s="78">
        <v>20</v>
      </c>
      <c r="H42" s="83"/>
      <c r="I42" s="92"/>
      <c r="J42" s="93"/>
      <c r="K42" s="94"/>
      <c r="M42" s="205" t="s">
        <v>160</v>
      </c>
      <c r="P42" s="495" t="str">
        <f>P26</f>
        <v>　給水栓 B</v>
      </c>
      <c r="Q42" s="496"/>
      <c r="R42" s="26">
        <v>13</v>
      </c>
      <c r="S42" s="27">
        <v>1.8340000000000001</v>
      </c>
      <c r="T42" s="27">
        <v>1.1850000000000001</v>
      </c>
      <c r="U42" s="98">
        <f>T26</f>
        <v>0.33333333333333331</v>
      </c>
      <c r="V42" s="27">
        <f t="shared" si="3"/>
        <v>-0.47712125471966244</v>
      </c>
      <c r="W42" s="33">
        <f t="shared" si="5"/>
        <v>0.30995961884413914</v>
      </c>
      <c r="X42" s="117">
        <f t="shared" si="4"/>
        <v>2</v>
      </c>
      <c r="Y42" s="55"/>
      <c r="Z42" s="48"/>
      <c r="AD42" s="13"/>
    </row>
    <row r="43" spans="4:30">
      <c r="I43" s="49"/>
      <c r="J43" s="49"/>
      <c r="P43" s="495" t="str">
        <f>P42</f>
        <v>　給水栓 B</v>
      </c>
      <c r="Q43" s="496"/>
      <c r="R43" s="26">
        <v>20</v>
      </c>
      <c r="S43" s="27">
        <v>2</v>
      </c>
      <c r="T43" s="27">
        <v>0.69899999999999995</v>
      </c>
      <c r="U43" s="98">
        <f>U42</f>
        <v>0.33333333333333331</v>
      </c>
      <c r="V43" s="27">
        <f t="shared" si="3"/>
        <v>-0.47712125471966244</v>
      </c>
      <c r="W43" s="33">
        <f t="shared" si="5"/>
        <v>-0.25524250943932492</v>
      </c>
      <c r="X43" s="117">
        <f t="shared" si="4"/>
        <v>0.6</v>
      </c>
      <c r="Y43" s="55"/>
      <c r="Z43" s="48"/>
      <c r="AD43" s="13"/>
    </row>
    <row r="44" spans="4:30" ht="14.25" thickBot="1">
      <c r="I44" s="49"/>
      <c r="J44" s="49"/>
      <c r="P44" s="495" t="str">
        <f>P43</f>
        <v>　給水栓 B</v>
      </c>
      <c r="Q44" s="496"/>
      <c r="R44" s="26">
        <v>25</v>
      </c>
      <c r="S44" s="27">
        <v>2.0977999999999999</v>
      </c>
      <c r="T44" s="27">
        <v>0.2792</v>
      </c>
      <c r="U44" s="98">
        <f>U43</f>
        <v>0.33333333333333331</v>
      </c>
      <c r="V44" s="27">
        <f t="shared" si="3"/>
        <v>-0.47712125471966244</v>
      </c>
      <c r="W44" s="33">
        <f t="shared" si="5"/>
        <v>-0.7217049681509079</v>
      </c>
      <c r="X44" s="117">
        <f t="shared" si="4"/>
        <v>0.2</v>
      </c>
      <c r="Y44" s="55"/>
      <c r="Z44" s="48"/>
      <c r="AD44" s="13"/>
    </row>
    <row r="45" spans="4:30" ht="14.25" thickBot="1">
      <c r="E45" s="470" t="s">
        <v>110</v>
      </c>
      <c r="F45" s="471"/>
      <c r="G45" s="471"/>
      <c r="H45" s="471"/>
      <c r="I45" s="471"/>
      <c r="J45" s="471"/>
      <c r="K45" s="471"/>
      <c r="L45" s="471"/>
      <c r="M45" s="472"/>
      <c r="P45" s="497" t="str">
        <f>P27</f>
        <v>　給水栓 A</v>
      </c>
      <c r="Q45" s="498"/>
      <c r="R45" s="40">
        <v>13</v>
      </c>
      <c r="S45" s="41">
        <v>1.8340000000000001</v>
      </c>
      <c r="T45" s="41">
        <v>1.1850000000000001</v>
      </c>
      <c r="U45" s="99">
        <f>T27</f>
        <v>0</v>
      </c>
      <c r="V45" s="41" t="e">
        <f t="shared" si="3"/>
        <v>#NUM!</v>
      </c>
      <c r="W45" s="42" t="e">
        <f t="shared" si="5"/>
        <v>#NUM!</v>
      </c>
      <c r="X45" s="119" t="str">
        <f t="shared" si="4"/>
        <v/>
      </c>
      <c r="Y45" s="55"/>
      <c r="Z45" s="48"/>
    </row>
    <row r="46" spans="4:30">
      <c r="E46" s="124" t="s">
        <v>27</v>
      </c>
      <c r="F46" s="125"/>
      <c r="G46" s="125"/>
      <c r="H46" s="125"/>
      <c r="I46" s="125"/>
      <c r="J46" s="125"/>
      <c r="K46" s="125"/>
      <c r="L46" s="125"/>
      <c r="M46" s="126"/>
      <c r="P46" s="497" t="str">
        <f>P45</f>
        <v>　給水栓 A</v>
      </c>
      <c r="Q46" s="498"/>
      <c r="R46" s="40">
        <v>20</v>
      </c>
      <c r="S46" s="41">
        <v>2</v>
      </c>
      <c r="T46" s="41">
        <v>0.69899999999999995</v>
      </c>
      <c r="U46" s="99">
        <f>U45</f>
        <v>0</v>
      </c>
      <c r="V46" s="41" t="e">
        <f t="shared" si="3"/>
        <v>#NUM!</v>
      </c>
      <c r="W46" s="42" t="e">
        <f t="shared" si="5"/>
        <v>#NUM!</v>
      </c>
      <c r="X46" s="119" t="str">
        <f t="shared" si="4"/>
        <v/>
      </c>
      <c r="Y46" s="55"/>
      <c r="Z46" s="48"/>
    </row>
    <row r="47" spans="4:30">
      <c r="E47" s="467" t="s">
        <v>9</v>
      </c>
      <c r="F47" s="56" t="s">
        <v>10</v>
      </c>
      <c r="G47" s="56" t="s">
        <v>4</v>
      </c>
      <c r="H47" s="56" t="s">
        <v>11</v>
      </c>
      <c r="I47" s="56" t="s">
        <v>12</v>
      </c>
      <c r="J47" s="56" t="s">
        <v>13</v>
      </c>
      <c r="K47" s="56" t="s">
        <v>14</v>
      </c>
      <c r="L47" s="56" t="s">
        <v>15</v>
      </c>
      <c r="M47" s="152"/>
      <c r="P47" s="497" t="str">
        <f>P46</f>
        <v>　給水栓 A</v>
      </c>
      <c r="Q47" s="498"/>
      <c r="R47" s="40">
        <v>25</v>
      </c>
      <c r="S47" s="41">
        <v>2.0977999999999999</v>
      </c>
      <c r="T47" s="41">
        <v>0.2792</v>
      </c>
      <c r="U47" s="99">
        <f>U46</f>
        <v>0</v>
      </c>
      <c r="V47" s="41" t="e">
        <f>LOG10(U47)</f>
        <v>#NUM!</v>
      </c>
      <c r="W47" s="42" t="e">
        <f t="shared" si="5"/>
        <v>#NUM!</v>
      </c>
      <c r="X47" s="119" t="str">
        <f t="shared" si="4"/>
        <v/>
      </c>
      <c r="Y47" s="55"/>
      <c r="Z47" s="48"/>
    </row>
    <row r="48" spans="4:30">
      <c r="E48" s="467"/>
      <c r="F48" s="57" t="s">
        <v>61</v>
      </c>
      <c r="G48" s="57" t="s">
        <v>62</v>
      </c>
      <c r="H48" s="57" t="s">
        <v>63</v>
      </c>
      <c r="I48" s="57" t="s">
        <v>64</v>
      </c>
      <c r="J48" s="57" t="s">
        <v>64</v>
      </c>
      <c r="K48" s="57" t="s">
        <v>64</v>
      </c>
      <c r="L48" s="57" t="s">
        <v>64</v>
      </c>
      <c r="M48" s="153"/>
      <c r="P48" s="458" t="s">
        <v>33</v>
      </c>
      <c r="Q48" s="456"/>
      <c r="R48" s="16">
        <v>13</v>
      </c>
      <c r="S48" s="19">
        <v>1.9312</v>
      </c>
      <c r="T48" s="19">
        <v>1.0902000000000001</v>
      </c>
      <c r="U48" s="100">
        <f>T28</f>
        <v>0.6</v>
      </c>
      <c r="V48" s="19">
        <f t="shared" si="3"/>
        <v>-0.22184874961635639</v>
      </c>
      <c r="W48" s="34">
        <f t="shared" si="5"/>
        <v>0.66176569474089253</v>
      </c>
      <c r="X48" s="147">
        <f t="shared" si="4"/>
        <v>4.5999999999999996</v>
      </c>
      <c r="Y48" s="55"/>
      <c r="Z48" s="48"/>
    </row>
    <row r="49" spans="5:26" ht="13.15" customHeight="1">
      <c r="E49" s="154" t="s">
        <v>45</v>
      </c>
      <c r="F49" s="132">
        <f>J23</f>
        <v>8</v>
      </c>
      <c r="G49" s="132">
        <f>I23</f>
        <v>13</v>
      </c>
      <c r="H49" s="132">
        <f t="shared" ref="H49:H62" si="6">IF(F49*G49*I49=0,0,ROUND((0.0126+((0.01739-0.1087*(G49/1000)))/((F49/1000/60)/(PI()*(G49/1000)^2/4))^0.5)*1/(G49/1000)*((F49/1000/60)/(PI()*(G49/1000)^2/4))^2/(2*9.8)/1*1000,0))</f>
        <v>0</v>
      </c>
      <c r="I49" s="134"/>
      <c r="J49" s="133">
        <f>IF(G49=13,U23,IF(G49=20,V23,IF(G49=25,W23)))</f>
        <v>0.4</v>
      </c>
      <c r="K49" s="134"/>
      <c r="L49" s="134">
        <f t="shared" ref="L49:L62" si="7">ROUND(J49+K49,2)</f>
        <v>0.4</v>
      </c>
      <c r="M49" s="155"/>
      <c r="P49" s="458" t="s">
        <v>33</v>
      </c>
      <c r="Q49" s="456"/>
      <c r="R49" s="16">
        <v>20</v>
      </c>
      <c r="S49" s="19">
        <v>1.9514</v>
      </c>
      <c r="T49" s="19">
        <v>0.5887</v>
      </c>
      <c r="U49" s="100">
        <f t="shared" ref="U49:U57" si="8">U48</f>
        <v>0.6</v>
      </c>
      <c r="V49" s="19">
        <f t="shared" si="3"/>
        <v>-0.22184874961635639</v>
      </c>
      <c r="W49" s="34">
        <f t="shared" si="5"/>
        <v>0.1557843499986421</v>
      </c>
      <c r="X49" s="147">
        <f t="shared" si="4"/>
        <v>1.4</v>
      </c>
      <c r="Y49" s="55"/>
      <c r="Z49" s="101"/>
    </row>
    <row r="50" spans="5:26" ht="14.25" thickBot="1">
      <c r="E50" s="156" t="s">
        <v>46</v>
      </c>
      <c r="F50" s="137">
        <f>F49</f>
        <v>8</v>
      </c>
      <c r="G50" s="137">
        <f>G35</f>
        <v>13</v>
      </c>
      <c r="H50" s="137">
        <f>IF(F50*G50*I50=0,0,ROUND((0.0126+((0.01739-0.1087*(G50/1000)))/((F50/1000/60)/(PI()*(G50/1000)^2/4))^0.5)*1/(G50/1000)*((F50/1000/60)/(PI()*(G50/1000)^2/4))^2/(2*9.8)/1*1000,0))</f>
        <v>113</v>
      </c>
      <c r="I50" s="138">
        <f>H35</f>
        <v>3</v>
      </c>
      <c r="J50" s="138">
        <f t="shared" ref="J50:J62" si="9">H50/1000*I50</f>
        <v>0.33900000000000002</v>
      </c>
      <c r="K50" s="138">
        <f>K39</f>
        <v>0.6</v>
      </c>
      <c r="L50" s="138">
        <f t="shared" si="7"/>
        <v>0.94</v>
      </c>
      <c r="M50" s="157">
        <f>SUM(L49:L50)</f>
        <v>1.3399999999999999</v>
      </c>
      <c r="P50" s="458" t="s">
        <v>33</v>
      </c>
      <c r="Q50" s="456"/>
      <c r="R50" s="16">
        <v>25</v>
      </c>
      <c r="S50" s="19">
        <v>1.9554</v>
      </c>
      <c r="T50" s="19">
        <v>0.47710000000000002</v>
      </c>
      <c r="U50" s="100">
        <f t="shared" si="8"/>
        <v>0.6</v>
      </c>
      <c r="V50" s="19">
        <f t="shared" si="3"/>
        <v>-0.22184874961635639</v>
      </c>
      <c r="W50" s="34">
        <f t="shared" si="5"/>
        <v>4.3296955000176718E-2</v>
      </c>
      <c r="X50" s="147">
        <f t="shared" si="4"/>
        <v>1.1000000000000001</v>
      </c>
      <c r="Y50" s="55"/>
      <c r="Z50" s="101"/>
    </row>
    <row r="51" spans="5:26" ht="14.25" thickTop="1">
      <c r="E51" s="158" t="s">
        <v>43</v>
      </c>
      <c r="F51" s="139">
        <f>J24</f>
        <v>0</v>
      </c>
      <c r="G51" s="139">
        <f>I24</f>
        <v>13</v>
      </c>
      <c r="H51" s="139">
        <f t="shared" ref="H51" si="10">IF(F51*G51*I51=0,0,ROUND((0.0126+((0.01739-0.1087*(G51/1000)))/((F51/1000/60)/(PI()*(G51/1000)^2/4))^0.5)*1/(G51/1000)*((F51/1000/60)/(PI()*(G51/1000)^2/4))^2/(2*9.8)/1*1000,0))</f>
        <v>0</v>
      </c>
      <c r="I51" s="141"/>
      <c r="J51" s="133" t="str">
        <f>IF(G51=13,U24,IF(G51=20,V24,IF(G51=25,W24)))</f>
        <v/>
      </c>
      <c r="K51" s="141"/>
      <c r="L51" s="141" t="e">
        <f t="shared" ref="L51" si="11">ROUND(J51+K51,2)</f>
        <v>#VALUE!</v>
      </c>
      <c r="M51" s="159"/>
      <c r="P51" s="458" t="s">
        <v>33</v>
      </c>
      <c r="Q51" s="456"/>
      <c r="R51" s="16">
        <v>40</v>
      </c>
      <c r="S51" s="19">
        <v>1.9036999999999999</v>
      </c>
      <c r="T51" s="19">
        <v>-0.30099999999999999</v>
      </c>
      <c r="U51" s="100">
        <f t="shared" si="8"/>
        <v>0.6</v>
      </c>
      <c r="V51" s="19">
        <f t="shared" si="3"/>
        <v>-0.22184874961635639</v>
      </c>
      <c r="W51" s="34">
        <f t="shared" si="5"/>
        <v>-0.72333346464465764</v>
      </c>
      <c r="X51" s="147">
        <f t="shared" si="4"/>
        <v>0.2</v>
      </c>
      <c r="Y51" s="55"/>
      <c r="Z51" s="101"/>
    </row>
    <row r="52" spans="5:26">
      <c r="E52" s="160" t="s">
        <v>89</v>
      </c>
      <c r="F52" s="135">
        <f>F51</f>
        <v>0</v>
      </c>
      <c r="G52" s="135">
        <f>G38</f>
        <v>13</v>
      </c>
      <c r="H52" s="135">
        <f>IF(F52*G52*I52=0,0,ROUND((0.0126+((0.01739-0.1087*(G52/1000)))/((F52/1000/60)/(PI()*(G52/1000)^2/4))^0.5)*1/(G52/1000)*((F52/1000/60)/(PI()*(G52/1000)^2/4))^2/(2*9.8)/1*1000,0))</f>
        <v>0</v>
      </c>
      <c r="I52" s="136">
        <f>H38</f>
        <v>2</v>
      </c>
      <c r="J52" s="136">
        <f t="shared" si="9"/>
        <v>0</v>
      </c>
      <c r="K52" s="136">
        <f>K38</f>
        <v>1</v>
      </c>
      <c r="L52" s="136">
        <f t="shared" si="7"/>
        <v>1</v>
      </c>
      <c r="M52" s="161"/>
      <c r="P52" s="458" t="s">
        <v>52</v>
      </c>
      <c r="Q52" s="456"/>
      <c r="R52" s="16">
        <v>13</v>
      </c>
      <c r="S52" s="19">
        <f t="shared" ref="S52:T52" si="12">S33</f>
        <v>1.8340000000000001</v>
      </c>
      <c r="T52" s="19">
        <f t="shared" si="12"/>
        <v>1.1850000000000001</v>
      </c>
      <c r="U52" s="100">
        <f>U51</f>
        <v>0.6</v>
      </c>
      <c r="V52" s="19">
        <f t="shared" si="3"/>
        <v>-0.22184874961635639</v>
      </c>
      <c r="W52" s="34">
        <f t="shared" si="5"/>
        <v>0.77812939320360242</v>
      </c>
      <c r="X52" s="147">
        <f t="shared" si="4"/>
        <v>6</v>
      </c>
      <c r="Y52" s="55"/>
      <c r="Z52" s="101"/>
    </row>
    <row r="53" spans="5:26" ht="14.25" thickBot="1">
      <c r="E53" s="156" t="s">
        <v>90</v>
      </c>
      <c r="F53" s="137">
        <f>F51+F49</f>
        <v>8</v>
      </c>
      <c r="G53" s="137">
        <f>G34</f>
        <v>20</v>
      </c>
      <c r="H53" s="137">
        <f t="shared" si="6"/>
        <v>17</v>
      </c>
      <c r="I53" s="138">
        <f>H34</f>
        <v>6</v>
      </c>
      <c r="J53" s="138">
        <f t="shared" si="9"/>
        <v>0.10200000000000001</v>
      </c>
      <c r="K53" s="138"/>
      <c r="L53" s="138">
        <f t="shared" si="7"/>
        <v>0.1</v>
      </c>
      <c r="M53" s="162" t="e">
        <f>SUM(L51:L53)</f>
        <v>#VALUE!</v>
      </c>
      <c r="P53" s="458" t="s">
        <v>52</v>
      </c>
      <c r="Q53" s="456"/>
      <c r="R53" s="16">
        <v>20</v>
      </c>
      <c r="S53" s="19">
        <f t="shared" ref="S53:T53" si="13">S34</f>
        <v>2</v>
      </c>
      <c r="T53" s="19">
        <f t="shared" si="13"/>
        <v>0.69899999999999995</v>
      </c>
      <c r="U53" s="100">
        <f t="shared" si="8"/>
        <v>0.6</v>
      </c>
      <c r="V53" s="19">
        <f t="shared" si="3"/>
        <v>-0.22184874961635639</v>
      </c>
      <c r="W53" s="34">
        <f t="shared" si="5"/>
        <v>0.25530250076728717</v>
      </c>
      <c r="X53" s="147">
        <f t="shared" si="4"/>
        <v>1.8</v>
      </c>
      <c r="Y53" s="55"/>
      <c r="Z53" s="101"/>
    </row>
    <row r="54" spans="5:26" ht="14.25" thickTop="1">
      <c r="E54" s="154" t="s">
        <v>42</v>
      </c>
      <c r="F54" s="139">
        <f>J25</f>
        <v>8</v>
      </c>
      <c r="G54" s="139">
        <f>I25</f>
        <v>13</v>
      </c>
      <c r="H54" s="139">
        <f t="shared" si="6"/>
        <v>0</v>
      </c>
      <c r="I54" s="141"/>
      <c r="J54" s="133">
        <f>IF(G54=13,U25,IF(G54=20,V25,IF(G54=25,W25)))</f>
        <v>0.4</v>
      </c>
      <c r="K54" s="141"/>
      <c r="L54" s="141">
        <f t="shared" si="7"/>
        <v>0.4</v>
      </c>
      <c r="M54" s="159"/>
      <c r="P54" s="458" t="s">
        <v>52</v>
      </c>
      <c r="Q54" s="456"/>
      <c r="R54" s="16">
        <v>25</v>
      </c>
      <c r="S54" s="19">
        <f t="shared" ref="S54:T54" si="14">S35</f>
        <v>2.0977999999999999</v>
      </c>
      <c r="T54" s="19">
        <f t="shared" si="14"/>
        <v>0.2792</v>
      </c>
      <c r="U54" s="100">
        <f t="shared" si="8"/>
        <v>0.6</v>
      </c>
      <c r="V54" s="19">
        <f t="shared" si="3"/>
        <v>-0.22184874961635639</v>
      </c>
      <c r="W54" s="34">
        <f t="shared" si="5"/>
        <v>-0.1861943069451924</v>
      </c>
      <c r="X54" s="147">
        <f t="shared" si="4"/>
        <v>0.7</v>
      </c>
      <c r="Z54" s="101"/>
    </row>
    <row r="55" spans="5:26">
      <c r="E55" s="154" t="s">
        <v>102</v>
      </c>
      <c r="F55" s="132">
        <f>F54</f>
        <v>8</v>
      </c>
      <c r="G55" s="132">
        <v>13</v>
      </c>
      <c r="H55" s="132">
        <f t="shared" si="6"/>
        <v>113</v>
      </c>
      <c r="I55" s="134">
        <f>H37</f>
        <v>2</v>
      </c>
      <c r="J55" s="134">
        <f t="shared" si="9"/>
        <v>0.22600000000000001</v>
      </c>
      <c r="K55" s="134">
        <f>K37</f>
        <v>1</v>
      </c>
      <c r="L55" s="134">
        <f t="shared" si="7"/>
        <v>1.23</v>
      </c>
      <c r="M55" s="155"/>
      <c r="P55" s="458" t="s">
        <v>53</v>
      </c>
      <c r="Q55" s="456"/>
      <c r="R55" s="16">
        <v>13</v>
      </c>
      <c r="S55" s="19">
        <v>1.8380000000000001</v>
      </c>
      <c r="T55" s="19">
        <v>1.0629</v>
      </c>
      <c r="U55" s="100">
        <f t="shared" si="8"/>
        <v>0.6</v>
      </c>
      <c r="V55" s="19">
        <f t="shared" si="3"/>
        <v>-0.22184874961635639</v>
      </c>
      <c r="W55" s="34">
        <f t="shared" si="5"/>
        <v>0.65514199820513697</v>
      </c>
      <c r="X55" s="147">
        <f t="shared" si="4"/>
        <v>4.5</v>
      </c>
      <c r="Z55" s="101"/>
    </row>
    <row r="56" spans="5:26" ht="14.25" thickBot="1">
      <c r="E56" s="156" t="s">
        <v>103</v>
      </c>
      <c r="F56" s="137">
        <f>F54+F53</f>
        <v>16</v>
      </c>
      <c r="G56" s="137">
        <v>20</v>
      </c>
      <c r="H56" s="137">
        <f t="shared" si="6"/>
        <v>54</v>
      </c>
      <c r="I56" s="138">
        <f>H33</f>
        <v>0.5</v>
      </c>
      <c r="J56" s="138">
        <f t="shared" si="9"/>
        <v>2.7E-2</v>
      </c>
      <c r="K56" s="138"/>
      <c r="L56" s="138">
        <f t="shared" si="7"/>
        <v>0.03</v>
      </c>
      <c r="M56" s="162">
        <f>SUM(L54:L56)</f>
        <v>1.66</v>
      </c>
      <c r="P56" s="458" t="s">
        <v>53</v>
      </c>
      <c r="Q56" s="456"/>
      <c r="R56" s="16">
        <v>20</v>
      </c>
      <c r="S56" s="19">
        <v>1.9379</v>
      </c>
      <c r="T56" s="19">
        <v>0.2296</v>
      </c>
      <c r="U56" s="100">
        <f t="shared" si="8"/>
        <v>0.6</v>
      </c>
      <c r="V56" s="19">
        <f t="shared" si="3"/>
        <v>-0.22184874961635639</v>
      </c>
      <c r="W56" s="34">
        <f t="shared" si="5"/>
        <v>-0.20032069188153703</v>
      </c>
      <c r="X56" s="147">
        <f t="shared" si="4"/>
        <v>0.6</v>
      </c>
      <c r="Z56" s="101"/>
    </row>
    <row r="57" spans="5:26" ht="13.15" customHeight="1" thickTop="1" thickBot="1">
      <c r="E57" s="163" t="s">
        <v>41</v>
      </c>
      <c r="F57" s="143">
        <f>J26</f>
        <v>20</v>
      </c>
      <c r="G57" s="143">
        <f>I26</f>
        <v>20</v>
      </c>
      <c r="H57" s="139">
        <f t="shared" ref="H57" si="15">IF(F57*G57*I57=0,0,ROUND((0.0126+((0.01739-0.1087*(G57/1000)))/((F57/1000/60)/(PI()*(G57/1000)^2/4))^0.5)*1/(G57/1000)*((F57/1000/60)/(PI()*(G57/1000)^2/4))^2/(2*9.8)/1*1000,0))</f>
        <v>0</v>
      </c>
      <c r="I57" s="141"/>
      <c r="J57" s="133">
        <f>IF(G57=13,U26,IF(G57=20,V26,IF(G57=25,W26)))</f>
        <v>0.6</v>
      </c>
      <c r="K57" s="141"/>
      <c r="L57" s="141">
        <f t="shared" ref="L57" si="16">ROUND(J57+K57,2)</f>
        <v>0.6</v>
      </c>
      <c r="M57" s="164"/>
      <c r="P57" s="489" t="s">
        <v>53</v>
      </c>
      <c r="Q57" s="490"/>
      <c r="R57" s="120">
        <v>25</v>
      </c>
      <c r="S57" s="121">
        <v>1.9125000000000001</v>
      </c>
      <c r="T57" s="121">
        <v>-0.15490000000000001</v>
      </c>
      <c r="U57" s="122">
        <f t="shared" si="8"/>
        <v>0.6</v>
      </c>
      <c r="V57" s="121">
        <f t="shared" si="3"/>
        <v>-0.22184874961635639</v>
      </c>
      <c r="W57" s="123">
        <f t="shared" si="5"/>
        <v>-0.57918573364128167</v>
      </c>
      <c r="X57" s="148">
        <f t="shared" si="4"/>
        <v>0.3</v>
      </c>
      <c r="Z57" s="101"/>
    </row>
    <row r="58" spans="5:26">
      <c r="E58" s="154" t="s">
        <v>98</v>
      </c>
      <c r="F58" s="132">
        <f>F57</f>
        <v>20</v>
      </c>
      <c r="G58" s="132">
        <f>G36</f>
        <v>13</v>
      </c>
      <c r="H58" s="132">
        <f t="shared" si="6"/>
        <v>561</v>
      </c>
      <c r="I58" s="134">
        <f>H36</f>
        <v>2</v>
      </c>
      <c r="J58" s="134">
        <f t="shared" si="9"/>
        <v>1.1220000000000001</v>
      </c>
      <c r="K58" s="134">
        <f>K36</f>
        <v>0.6</v>
      </c>
      <c r="L58" s="134">
        <f t="shared" si="7"/>
        <v>1.72</v>
      </c>
      <c r="M58" s="155"/>
      <c r="P58" s="18"/>
      <c r="Q58" s="18"/>
      <c r="R58" s="18"/>
      <c r="S58" s="76"/>
      <c r="T58" s="76"/>
      <c r="U58" s="76"/>
      <c r="V58" s="76"/>
      <c r="W58" s="76"/>
      <c r="X58" s="76"/>
      <c r="Y58" s="48"/>
      <c r="Z58" s="48"/>
    </row>
    <row r="59" spans="5:26" ht="14.25" thickBot="1">
      <c r="E59" s="156" t="s">
        <v>104</v>
      </c>
      <c r="F59" s="137">
        <f>F57+F56</f>
        <v>36</v>
      </c>
      <c r="G59" s="137">
        <f>G32</f>
        <v>20</v>
      </c>
      <c r="H59" s="137">
        <f t="shared" ref="H59:H60" si="17">IF(F59*G59*I59=0,0,ROUND((0.0126+((0.01739-0.1087*(G59/1000)))/((F59/1000/60)/(PI()*(G59/1000)^2/4))^0.5)*1/(G59/1000)*((F59/1000/60)/(PI()*(G59/1000)^2/4))^2/(2*9.8)/1*1000,0))</f>
        <v>220</v>
      </c>
      <c r="I59" s="138">
        <f>H32</f>
        <v>0.5</v>
      </c>
      <c r="J59" s="138">
        <f t="shared" ref="J59" si="18">H59/1000*I59</f>
        <v>0.11</v>
      </c>
      <c r="K59" s="138"/>
      <c r="L59" s="138">
        <f t="shared" ref="L59" si="19">ROUND(J59+K59,2)</f>
        <v>0.11</v>
      </c>
      <c r="M59" s="162">
        <f>SUM(L57:L59)</f>
        <v>2.4299999999999997</v>
      </c>
      <c r="P59" s="18"/>
      <c r="Q59" s="18"/>
      <c r="R59" s="18"/>
      <c r="S59" s="76"/>
      <c r="T59" s="76"/>
      <c r="U59" s="76"/>
      <c r="V59" s="76"/>
      <c r="W59" s="76"/>
      <c r="X59" s="76"/>
      <c r="Y59" s="48"/>
      <c r="Z59" s="48"/>
    </row>
    <row r="60" spans="5:26" ht="14.25" thickTop="1">
      <c r="E60" s="158" t="s">
        <v>39</v>
      </c>
      <c r="F60" s="139">
        <f>J27</f>
        <v>0</v>
      </c>
      <c r="G60" s="139">
        <f>I27</f>
        <v>13</v>
      </c>
      <c r="H60" s="139">
        <f t="shared" si="17"/>
        <v>0</v>
      </c>
      <c r="I60" s="141"/>
      <c r="J60" s="140" t="str">
        <f>IF(G60=13,U27,IF(G60=20,V27,IF(G60=25,W27)))</f>
        <v/>
      </c>
      <c r="K60" s="141"/>
      <c r="L60" s="141" t="e">
        <f>ROUND(J60+K60,2)</f>
        <v>#VALUE!</v>
      </c>
      <c r="M60" s="164"/>
      <c r="P60" s="18"/>
      <c r="Q60" s="18"/>
      <c r="R60" s="18"/>
      <c r="S60" s="76"/>
      <c r="T60" s="76"/>
      <c r="U60" s="76"/>
      <c r="V60" s="76"/>
      <c r="W60" s="76"/>
      <c r="X60" s="76"/>
      <c r="Y60" s="48"/>
      <c r="Z60" s="48"/>
    </row>
    <row r="61" spans="5:26" ht="14.25" thickBot="1">
      <c r="E61" s="156" t="s">
        <v>97</v>
      </c>
      <c r="F61" s="137">
        <f>F60</f>
        <v>0</v>
      </c>
      <c r="G61" s="137">
        <f>G35</f>
        <v>13</v>
      </c>
      <c r="H61" s="137">
        <f t="shared" si="6"/>
        <v>0</v>
      </c>
      <c r="I61" s="138">
        <f>H35</f>
        <v>3</v>
      </c>
      <c r="J61" s="138">
        <f t="shared" si="9"/>
        <v>0</v>
      </c>
      <c r="K61" s="138">
        <f>K36</f>
        <v>0.6</v>
      </c>
      <c r="L61" s="138">
        <f t="shared" si="7"/>
        <v>0.6</v>
      </c>
      <c r="M61" s="157" t="e">
        <f>SUM(L60:L61)</f>
        <v>#VALUE!</v>
      </c>
      <c r="P61" s="18"/>
      <c r="Q61" s="18"/>
      <c r="R61" s="18"/>
      <c r="S61" s="76"/>
      <c r="T61" s="76"/>
      <c r="U61" s="76"/>
      <c r="V61" s="76"/>
      <c r="W61" s="76"/>
      <c r="X61" s="76"/>
      <c r="Y61" s="48"/>
      <c r="Z61" s="48"/>
    </row>
    <row r="62" spans="5:26" ht="14.25" thickTop="1">
      <c r="E62" s="158" t="s">
        <v>105</v>
      </c>
      <c r="F62" s="145">
        <f>F60+F59</f>
        <v>36</v>
      </c>
      <c r="G62" s="145">
        <f>G31</f>
        <v>20</v>
      </c>
      <c r="H62" s="145">
        <f t="shared" si="6"/>
        <v>220</v>
      </c>
      <c r="I62" s="146">
        <v>10</v>
      </c>
      <c r="J62" s="146">
        <f t="shared" si="9"/>
        <v>2.2000000000000002</v>
      </c>
      <c r="K62" s="146">
        <f>K31</f>
        <v>0</v>
      </c>
      <c r="L62" s="146">
        <f t="shared" si="7"/>
        <v>2.2000000000000002</v>
      </c>
      <c r="M62" s="165"/>
      <c r="P62" s="18"/>
      <c r="Q62" s="18"/>
      <c r="R62" s="18"/>
      <c r="S62" s="76"/>
      <c r="T62" s="76"/>
      <c r="U62" s="76"/>
      <c r="V62" s="76"/>
      <c r="W62" s="76"/>
      <c r="X62" s="76"/>
      <c r="Y62" s="48"/>
      <c r="Z62" s="48"/>
    </row>
    <row r="63" spans="5:26" ht="14.25" thickBot="1">
      <c r="E63" s="156" t="s">
        <v>106</v>
      </c>
      <c r="F63" s="137">
        <f>F62</f>
        <v>36</v>
      </c>
      <c r="G63" s="137">
        <f>G30</f>
        <v>20</v>
      </c>
      <c r="H63" s="137">
        <f t="shared" ref="H63" si="20">IF(F63*G63*I63=0,0,ROUND((0.0126+((0.01739-0.1087*(G63/1000)))/((F63/1000/60)/(PI()*(G63/1000)^2/4))^0.5)*1/(G63/1000)*((F63/1000/60)/(PI()*(G63/1000)^2/4))^2/(2*9.8)/1*1000,0))</f>
        <v>220</v>
      </c>
      <c r="I63" s="138">
        <v>10</v>
      </c>
      <c r="J63" s="138">
        <f t="shared" ref="J63" si="21">H63/1000*I63</f>
        <v>2.2000000000000002</v>
      </c>
      <c r="K63" s="138">
        <f>K30</f>
        <v>1.1000000000000001</v>
      </c>
      <c r="L63" s="138">
        <f t="shared" ref="L63:L67" si="22">ROUND(J63+K63,2)</f>
        <v>3.3</v>
      </c>
      <c r="M63" s="157">
        <f>SUM(L62:L63)</f>
        <v>5.5</v>
      </c>
    </row>
    <row r="64" spans="5:26" ht="14.25" thickTop="1">
      <c r="E64" s="124" t="s">
        <v>34</v>
      </c>
      <c r="F64" s="169"/>
      <c r="G64" s="169"/>
      <c r="H64" s="169"/>
      <c r="I64" s="170"/>
      <c r="J64" s="171"/>
      <c r="K64" s="170"/>
      <c r="L64" s="172">
        <f t="shared" si="22"/>
        <v>0</v>
      </c>
      <c r="M64" s="173"/>
    </row>
    <row r="65" spans="5:26">
      <c r="E65" s="154" t="s">
        <v>33</v>
      </c>
      <c r="F65" s="132">
        <f>J16</f>
        <v>0</v>
      </c>
      <c r="G65" s="132">
        <f>G40</f>
        <v>13</v>
      </c>
      <c r="H65" s="132">
        <f>IF(F65*G65*I65=0,0,ROUND((0.0126+((0.01739-0.1087*(G65/1000)))/((F65/1000/60)/(PI()*(G65/1000)^2/4))^0.5)*1/(G65/1000)*((F65/1000/60)/(PI()*(G65/1000)^2/4))^2/(2*9.8)/1*1000,0))</f>
        <v>0</v>
      </c>
      <c r="I65" s="142"/>
      <c r="J65" s="140">
        <f>IF(G65=13,U28,IF(G65=20,V28,IF(G65=25,W28)))</f>
        <v>4.5999999999999996</v>
      </c>
      <c r="K65" s="134"/>
      <c r="L65" s="134">
        <f t="shared" si="22"/>
        <v>4.5999999999999996</v>
      </c>
      <c r="M65" s="155"/>
    </row>
    <row r="66" spans="5:26">
      <c r="E66" s="154" t="s">
        <v>28</v>
      </c>
      <c r="F66" s="132">
        <f>F65</f>
        <v>0</v>
      </c>
      <c r="G66" s="132">
        <f>G41</f>
        <v>20</v>
      </c>
      <c r="H66" s="132">
        <f>IF(F66*G66*I66=0,0,ROUND((0.0126+((0.01739-0.1087*(G66/1000)))/((F66/1000/60)/(PI()*(G66/1000)^2/4))^0.5)*1/(G66/1000)*((F66/1000/60)/(PI()*(G66/1000)^2/4))^2/(2*9.8)/1*1000,0))</f>
        <v>0</v>
      </c>
      <c r="I66" s="142"/>
      <c r="J66" s="140">
        <f>IF(G66=13,U29,IF(G66=20,V29,IF(G66=25,W29)))</f>
        <v>1.8</v>
      </c>
      <c r="K66" s="134"/>
      <c r="L66" s="134">
        <f t="shared" si="22"/>
        <v>1.8</v>
      </c>
      <c r="M66" s="155"/>
    </row>
    <row r="67" spans="5:26" ht="14.25" thickBot="1">
      <c r="E67" s="156" t="s">
        <v>54</v>
      </c>
      <c r="F67" s="137">
        <f>F66</f>
        <v>0</v>
      </c>
      <c r="G67" s="137">
        <f>G42</f>
        <v>20</v>
      </c>
      <c r="H67" s="137">
        <f>IF(F67*G67*I67=0,0,ROUND((0.0126+((0.01739-0.1087*(G67/1000)))/((F67/1000/60)/(PI()*(G67/1000)^2/4))^0.5)*1/(G67/1000)*((F67/1000/60)/(PI()*(G67/1000)^2/4))^2/(2*9.8)/1*1000,0))</f>
        <v>0</v>
      </c>
      <c r="I67" s="138"/>
      <c r="J67" s="144">
        <f>IF(G67=13,U30,IF(G67=20,V30,IF(G67=25,W30)))</f>
        <v>0.6</v>
      </c>
      <c r="K67" s="138"/>
      <c r="L67" s="138">
        <f t="shared" si="22"/>
        <v>0.6</v>
      </c>
      <c r="M67" s="162">
        <f>SUM(L65:L67)</f>
        <v>6.9999999999999991</v>
      </c>
    </row>
    <row r="68" spans="5:26" ht="14.25" thickTop="1">
      <c r="Y68" s="17"/>
    </row>
    <row r="69" spans="5:26">
      <c r="Y69" s="17"/>
    </row>
    <row r="71" spans="5:26">
      <c r="Y71" s="4"/>
      <c r="Z71" s="4"/>
    </row>
    <row r="72" spans="5:26" ht="13.15" customHeight="1">
      <c r="Y72" s="4"/>
      <c r="Z72" s="4"/>
    </row>
    <row r="73" spans="5:26">
      <c r="Y73" s="4"/>
      <c r="Z73" s="4"/>
    </row>
    <row r="74" spans="5:26">
      <c r="Y74" s="4"/>
      <c r="Z74" s="4"/>
    </row>
    <row r="75" spans="5:26">
      <c r="Y75" s="4"/>
      <c r="Z75" s="4"/>
    </row>
    <row r="76" spans="5:26">
      <c r="Y76" s="4"/>
      <c r="Z76" s="4"/>
    </row>
    <row r="77" spans="5:26">
      <c r="Y77" s="4"/>
      <c r="Z77" s="4"/>
    </row>
    <row r="78" spans="5:26">
      <c r="Y78" s="4"/>
      <c r="Z78" s="4"/>
    </row>
    <row r="79" spans="5:26">
      <c r="Y79" s="4"/>
      <c r="Z79" s="4"/>
    </row>
    <row r="80" spans="5:26">
      <c r="Y80" s="4"/>
      <c r="Z80" s="4"/>
    </row>
    <row r="81" spans="25:26">
      <c r="Y81" s="4"/>
      <c r="Z81" s="4"/>
    </row>
    <row r="82" spans="25:26">
      <c r="Y82" s="4"/>
      <c r="Z82" s="4"/>
    </row>
    <row r="83" spans="25:26">
      <c r="Y83" s="4"/>
      <c r="Z83" s="4"/>
    </row>
    <row r="84" spans="25:26">
      <c r="Y84" s="4"/>
      <c r="Z84" s="4"/>
    </row>
    <row r="85" spans="25:26">
      <c r="Y85" s="4"/>
      <c r="Z85" s="4"/>
    </row>
    <row r="86" spans="25:26">
      <c r="Y86" s="4"/>
      <c r="Z86" s="4"/>
    </row>
    <row r="87" spans="25:26">
      <c r="Y87" s="4"/>
      <c r="Z87" s="4"/>
    </row>
    <row r="88" spans="25:26">
      <c r="Y88" s="4"/>
      <c r="Z88" s="4"/>
    </row>
    <row r="89" spans="25:26">
      <c r="Y89" s="4"/>
      <c r="Z89" s="4"/>
    </row>
    <row r="90" spans="25:26">
      <c r="Y90" s="4"/>
      <c r="Z90" s="4"/>
    </row>
    <row r="91" spans="25:26">
      <c r="Y91" s="4"/>
      <c r="Z91" s="4"/>
    </row>
    <row r="92" spans="25:26">
      <c r="Y92" s="4"/>
      <c r="Z92" s="4"/>
    </row>
  </sheetData>
  <mergeCells count="77">
    <mergeCell ref="C1:X1"/>
    <mergeCell ref="P18:X18"/>
    <mergeCell ref="S21:S22"/>
    <mergeCell ref="T21:T22"/>
    <mergeCell ref="M21:M22"/>
    <mergeCell ref="N21:N22"/>
    <mergeCell ref="E18:E20"/>
    <mergeCell ref="D18:D20"/>
    <mergeCell ref="E10:K10"/>
    <mergeCell ref="D17:I17"/>
    <mergeCell ref="X20:X22"/>
    <mergeCell ref="W20:W22"/>
    <mergeCell ref="N25:N27"/>
    <mergeCell ref="M10:M11"/>
    <mergeCell ref="P53:Q53"/>
    <mergeCell ref="P43:Q43"/>
    <mergeCell ref="P44:Q44"/>
    <mergeCell ref="P45:Q45"/>
    <mergeCell ref="P46:Q46"/>
    <mergeCell ref="P47:Q47"/>
    <mergeCell ref="P38:Q38"/>
    <mergeCell ref="P39:Q39"/>
    <mergeCell ref="P40:Q40"/>
    <mergeCell ref="P41:Q41"/>
    <mergeCell ref="P42:Q42"/>
    <mergeCell ref="P26:R26"/>
    <mergeCell ref="P21:P22"/>
    <mergeCell ref="P23:R23"/>
    <mergeCell ref="P54:Q54"/>
    <mergeCell ref="P55:Q55"/>
    <mergeCell ref="P56:Q56"/>
    <mergeCell ref="P57:Q57"/>
    <mergeCell ref="P48:Q48"/>
    <mergeCell ref="P49:Q49"/>
    <mergeCell ref="P50:Q50"/>
    <mergeCell ref="P51:Q51"/>
    <mergeCell ref="P52:Q52"/>
    <mergeCell ref="P24:R24"/>
    <mergeCell ref="P25:R25"/>
    <mergeCell ref="R20:R21"/>
    <mergeCell ref="U20:U22"/>
    <mergeCell ref="V20:V22"/>
    <mergeCell ref="D29:D42"/>
    <mergeCell ref="E29:E42"/>
    <mergeCell ref="I29:J29"/>
    <mergeCell ref="K25:L25"/>
    <mergeCell ref="K26:L26"/>
    <mergeCell ref="K27:L27"/>
    <mergeCell ref="E21:E28"/>
    <mergeCell ref="D21:D28"/>
    <mergeCell ref="G28:H28"/>
    <mergeCell ref="K28:L28"/>
    <mergeCell ref="K23:L23"/>
    <mergeCell ref="K21:L22"/>
    <mergeCell ref="K24:L24"/>
    <mergeCell ref="E47:E48"/>
    <mergeCell ref="G24:H24"/>
    <mergeCell ref="G27:H27"/>
    <mergeCell ref="G25:H25"/>
    <mergeCell ref="G26:H26"/>
    <mergeCell ref="E45:M45"/>
    <mergeCell ref="P37:Q37"/>
    <mergeCell ref="F21:F22"/>
    <mergeCell ref="G21:H22"/>
    <mergeCell ref="F18:G18"/>
    <mergeCell ref="F19:G19"/>
    <mergeCell ref="F20:G20"/>
    <mergeCell ref="G23:H23"/>
    <mergeCell ref="P32:Q32"/>
    <mergeCell ref="P33:Q33"/>
    <mergeCell ref="P34:Q34"/>
    <mergeCell ref="P35:Q35"/>
    <mergeCell ref="P36:Q36"/>
    <mergeCell ref="P27:R27"/>
    <mergeCell ref="P28:R28"/>
    <mergeCell ref="P29:R29"/>
    <mergeCell ref="P30:R30"/>
  </mergeCells>
  <phoneticPr fontId="2"/>
  <printOptions horizontalCentered="1"/>
  <pageMargins left="0.39370078740157483" right="0.39370078740157483" top="0.78740157480314965" bottom="0.19685039370078741" header="0.31496062992125984" footer="0.19685039370078741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94"/>
  <sheetViews>
    <sheetView zoomScaleNormal="100" workbookViewId="0">
      <selection activeCell="C2" sqref="C2"/>
    </sheetView>
  </sheetViews>
  <sheetFormatPr defaultColWidth="8.875" defaultRowHeight="13.5"/>
  <cols>
    <col min="1" max="1" width="3.5" style="3" customWidth="1"/>
    <col min="2" max="2" width="8.875" style="3"/>
    <col min="3" max="3" width="1.125" style="3" customWidth="1"/>
    <col min="4" max="4" width="3.5" style="15" bestFit="1" customWidth="1"/>
    <col min="5" max="5" width="14.5" style="3" customWidth="1"/>
    <col min="6" max="6" width="9.375" style="3" bestFit="1" customWidth="1"/>
    <col min="7" max="7" width="5.625" style="3" bestFit="1" customWidth="1"/>
    <col min="8" max="9" width="9.375" style="3" bestFit="1" customWidth="1"/>
    <col min="10" max="13" width="9" style="3" bestFit="1" customWidth="1"/>
    <col min="14" max="14" width="11.25" style="3" customWidth="1"/>
    <col min="15" max="15" width="1.875" style="3" customWidth="1"/>
    <col min="16" max="18" width="8.875" style="3"/>
    <col min="19" max="28" width="6.625" style="3" customWidth="1"/>
    <col min="29" max="16384" width="8.875" style="3"/>
  </cols>
  <sheetData>
    <row r="1" spans="2:24" ht="36" customHeight="1">
      <c r="C1" s="509" t="s">
        <v>168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</row>
    <row r="2" spans="2:24" ht="13.5" customHeight="1">
      <c r="B2" s="151"/>
      <c r="C2" s="204"/>
      <c r="D2" s="204"/>
      <c r="E2" s="280" t="s">
        <v>164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2:24" ht="13.5" customHeight="1">
      <c r="C3" s="204"/>
      <c r="D3" s="204"/>
      <c r="E3" s="48"/>
      <c r="F3" s="214"/>
      <c r="G3" s="18"/>
      <c r="H3" s="18"/>
      <c r="I3" s="18"/>
      <c r="J3" s="267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"/>
      <c r="V3" s="192" t="s">
        <v>132</v>
      </c>
      <c r="W3" s="192" t="s">
        <v>133</v>
      </c>
      <c r="X3" s="2"/>
    </row>
    <row r="4" spans="2:24" ht="13.5" customHeight="1">
      <c r="C4" s="204"/>
      <c r="D4" s="204"/>
      <c r="E4" s="1" t="s">
        <v>37</v>
      </c>
      <c r="F4" s="201" t="s">
        <v>157</v>
      </c>
      <c r="G4" s="10"/>
      <c r="H4" s="10"/>
      <c r="I4" s="18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V4" s="194">
        <f>I26</f>
        <v>13</v>
      </c>
      <c r="W4" s="194">
        <f>I25</f>
        <v>13</v>
      </c>
    </row>
    <row r="5" spans="2:24" s="151" customFormat="1" ht="13.5" customHeight="1">
      <c r="C5" s="204"/>
      <c r="D5" s="204"/>
      <c r="E5" s="1" t="s">
        <v>36</v>
      </c>
      <c r="F5" s="201" t="s">
        <v>163</v>
      </c>
      <c r="G5" s="10"/>
      <c r="H5" s="10"/>
      <c r="I5" s="18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3"/>
      <c r="V5" s="184">
        <f>H46</f>
        <v>0</v>
      </c>
      <c r="W5" s="188" t="s">
        <v>117</v>
      </c>
      <c r="X5" s="179">
        <f>K47</f>
        <v>0.6</v>
      </c>
    </row>
    <row r="6" spans="2:24" ht="13.5" customHeight="1">
      <c r="E6" s="1" t="s">
        <v>35</v>
      </c>
      <c r="F6" s="202" t="s">
        <v>129</v>
      </c>
      <c r="G6" s="14" t="s">
        <v>38</v>
      </c>
      <c r="H6" s="202" t="s">
        <v>158</v>
      </c>
      <c r="I6" s="203"/>
      <c r="J6" s="203"/>
      <c r="K6" s="203"/>
      <c r="L6" s="1"/>
      <c r="M6" s="1"/>
      <c r="N6" s="1"/>
      <c r="O6" s="1"/>
      <c r="P6" s="2"/>
      <c r="Q6" s="2"/>
      <c r="R6" s="2"/>
      <c r="S6" s="192"/>
      <c r="T6" s="192"/>
      <c r="U6" s="65"/>
      <c r="V6" s="183" t="s">
        <v>141</v>
      </c>
      <c r="W6" s="189" t="s">
        <v>119</v>
      </c>
      <c r="X6" s="179">
        <f>H47</f>
        <v>3</v>
      </c>
    </row>
    <row r="7" spans="2:24" ht="13.5" customHeight="1">
      <c r="E7" s="268"/>
      <c r="F7" s="203"/>
      <c r="G7" s="203"/>
      <c r="H7" s="203"/>
      <c r="I7" s="203"/>
      <c r="J7" s="203"/>
      <c r="K7" s="203"/>
      <c r="L7" s="1"/>
      <c r="M7" s="1"/>
      <c r="N7" s="1"/>
      <c r="O7" s="1"/>
      <c r="P7" s="2"/>
      <c r="Q7" s="2"/>
      <c r="R7" s="2"/>
      <c r="S7" s="192" t="s">
        <v>131</v>
      </c>
      <c r="T7" s="192" t="s">
        <v>126</v>
      </c>
      <c r="U7" s="63"/>
      <c r="W7" s="194">
        <f>G47</f>
        <v>13</v>
      </c>
    </row>
    <row r="8" spans="2:24" ht="14.25">
      <c r="E8" s="268" t="s">
        <v>166</v>
      </c>
      <c r="F8" s="214"/>
      <c r="G8" s="18"/>
      <c r="H8" s="18"/>
      <c r="I8" s="18"/>
      <c r="J8" s="18"/>
      <c r="K8" s="18"/>
      <c r="S8" s="194">
        <f>I28</f>
        <v>13</v>
      </c>
      <c r="T8" s="194">
        <f>I27</f>
        <v>13</v>
      </c>
      <c r="U8" s="187" t="s">
        <v>117</v>
      </c>
      <c r="V8" s="179">
        <f>K40</f>
        <v>2.8</v>
      </c>
    </row>
    <row r="9" spans="2:24" ht="14.25" thickBot="1">
      <c r="E9" s="48"/>
      <c r="F9" s="214"/>
      <c r="G9" s="18"/>
      <c r="H9" s="18"/>
      <c r="I9" s="18"/>
      <c r="J9" s="18"/>
      <c r="K9" s="18"/>
      <c r="S9" s="184">
        <f>H43</f>
        <v>3</v>
      </c>
      <c r="T9" s="185">
        <f>H44</f>
        <v>2</v>
      </c>
      <c r="U9" s="187" t="s">
        <v>119</v>
      </c>
      <c r="V9" s="179">
        <f>H40</f>
        <v>5</v>
      </c>
    </row>
    <row r="10" spans="2:24">
      <c r="E10" s="515" t="s">
        <v>109</v>
      </c>
      <c r="F10" s="516"/>
      <c r="G10" s="516"/>
      <c r="H10" s="516"/>
      <c r="I10" s="516"/>
      <c r="J10" s="516"/>
      <c r="K10" s="517"/>
      <c r="N10" s="5" t="s">
        <v>112</v>
      </c>
      <c r="O10" s="70"/>
      <c r="P10" s="70"/>
      <c r="Q10" s="70"/>
      <c r="R10" s="65"/>
      <c r="S10" s="183" t="s">
        <v>116</v>
      </c>
      <c r="T10" s="189"/>
      <c r="U10" s="177" t="s">
        <v>140</v>
      </c>
    </row>
    <row r="11" spans="2:24" ht="14.25" customHeight="1">
      <c r="E11" s="154" t="s">
        <v>156</v>
      </c>
      <c r="F11" s="210">
        <f>M81+M77+L73+L70+L67+L64+L61+M58</f>
        <v>18.47</v>
      </c>
      <c r="G11" s="149" t="s">
        <v>107</v>
      </c>
      <c r="H11" s="212">
        <f t="shared" ref="H11:H17" si="0">ROUND(F11*1.1,2)</f>
        <v>20.32</v>
      </c>
      <c r="I11" s="150" t="s">
        <v>108</v>
      </c>
      <c r="J11" s="206">
        <f t="shared" ref="J11:J17" si="1">H11+M25</f>
        <v>20.32</v>
      </c>
      <c r="K11" s="207" t="str">
        <f t="shared" ref="K11:K17" si="2">IF(H11="","",IF(J11&gt;H$20,IF(J11&lt;(H$20+1),"ＯＫ","ＮＧ"),"ＯＫ"))</f>
        <v>ＯＫ</v>
      </c>
      <c r="M11" s="196"/>
      <c r="N11" s="5" t="s">
        <v>39</v>
      </c>
      <c r="O11" s="70"/>
      <c r="P11" s="5" t="s">
        <v>41</v>
      </c>
      <c r="Q11" s="5" t="s">
        <v>42</v>
      </c>
      <c r="R11" s="63"/>
      <c r="T11" s="194">
        <f>G39</f>
        <v>25</v>
      </c>
      <c r="U11" s="205">
        <f>G40</f>
        <v>25</v>
      </c>
    </row>
    <row r="12" spans="2:24">
      <c r="E12" s="154" t="s">
        <v>155</v>
      </c>
      <c r="F12" s="210" t="e">
        <f>M81+M77+L73+L70+L67+L64+M61</f>
        <v>#VALUE!</v>
      </c>
      <c r="G12" s="149" t="s">
        <v>107</v>
      </c>
      <c r="H12" s="212" t="e">
        <f t="shared" si="0"/>
        <v>#VALUE!</v>
      </c>
      <c r="I12" s="150" t="s">
        <v>108</v>
      </c>
      <c r="J12" s="206" t="e">
        <f t="shared" si="1"/>
        <v>#VALUE!</v>
      </c>
      <c r="K12" s="207" t="e">
        <f t="shared" si="2"/>
        <v>#VALUE!</v>
      </c>
      <c r="L12" s="174" t="e">
        <f t="shared" ref="L12" si="3">ROUND(J12+K12,2)</f>
        <v>#VALUE!</v>
      </c>
      <c r="M12" s="494" t="s">
        <v>118</v>
      </c>
      <c r="N12" s="193">
        <f>I31</f>
        <v>13</v>
      </c>
      <c r="O12" s="70"/>
      <c r="P12" s="193">
        <f>I30</f>
        <v>20</v>
      </c>
      <c r="Q12" s="193">
        <f>I29</f>
        <v>13</v>
      </c>
      <c r="R12" s="187" t="s">
        <v>117</v>
      </c>
      <c r="S12" s="179">
        <f>K38</f>
        <v>3.6</v>
      </c>
      <c r="T12" s="182">
        <f>H39</f>
        <v>3</v>
      </c>
    </row>
    <row r="13" spans="2:24">
      <c r="E13" s="154" t="s">
        <v>55</v>
      </c>
      <c r="F13" s="210">
        <f>M81+M77+L73+L70+L67+M64</f>
        <v>15.93</v>
      </c>
      <c r="G13" s="149" t="s">
        <v>107</v>
      </c>
      <c r="H13" s="212">
        <f t="shared" si="0"/>
        <v>17.52</v>
      </c>
      <c r="I13" s="150" t="s">
        <v>108</v>
      </c>
      <c r="J13" s="206">
        <f t="shared" si="1"/>
        <v>17.52</v>
      </c>
      <c r="K13" s="207" t="str">
        <f t="shared" si="2"/>
        <v>ＯＫ</v>
      </c>
      <c r="L13" s="175"/>
      <c r="M13" s="494"/>
      <c r="N13" s="186">
        <f>H41</f>
        <v>0</v>
      </c>
      <c r="O13" s="70"/>
      <c r="P13" s="186">
        <f>H42</f>
        <v>3</v>
      </c>
      <c r="Q13" s="185">
        <f>H42</f>
        <v>3</v>
      </c>
      <c r="R13" s="187" t="s">
        <v>119</v>
      </c>
      <c r="S13" s="179">
        <f>H38</f>
        <v>10</v>
      </c>
    </row>
    <row r="14" spans="2:24">
      <c r="E14" s="154" t="s">
        <v>40</v>
      </c>
      <c r="F14" s="210">
        <f>M81+M77+L73+L70+M67</f>
        <v>15.59</v>
      </c>
      <c r="G14" s="149" t="s">
        <v>107</v>
      </c>
      <c r="H14" s="212">
        <f t="shared" si="0"/>
        <v>17.149999999999999</v>
      </c>
      <c r="I14" s="150" t="s">
        <v>108</v>
      </c>
      <c r="J14" s="206">
        <f t="shared" si="1"/>
        <v>17.149999999999999</v>
      </c>
      <c r="K14" s="207" t="str">
        <f t="shared" si="2"/>
        <v>ＯＫ</v>
      </c>
      <c r="L14" s="175"/>
      <c r="M14" s="195">
        <f>G48</f>
        <v>25</v>
      </c>
      <c r="N14" s="89" t="s">
        <v>143</v>
      </c>
      <c r="O14" s="62" t="s">
        <v>57</v>
      </c>
      <c r="P14" s="75"/>
      <c r="Q14" s="59" t="s">
        <v>58</v>
      </c>
      <c r="R14" s="177" t="s">
        <v>115</v>
      </c>
    </row>
    <row r="15" spans="2:24">
      <c r="E15" s="154" t="s">
        <v>30</v>
      </c>
      <c r="F15" s="210">
        <f>M81+M77+L73+M70</f>
        <v>12.09</v>
      </c>
      <c r="G15" s="149" t="s">
        <v>107</v>
      </c>
      <c r="H15" s="212">
        <f t="shared" si="0"/>
        <v>13.3</v>
      </c>
      <c r="I15" s="150" t="s">
        <v>108</v>
      </c>
      <c r="J15" s="206">
        <f t="shared" si="1"/>
        <v>13.3</v>
      </c>
      <c r="K15" s="207" t="str">
        <f t="shared" si="2"/>
        <v>ＯＫ</v>
      </c>
      <c r="L15" s="175"/>
      <c r="M15" s="176"/>
      <c r="N15" s="198">
        <f>G35</f>
        <v>25</v>
      </c>
      <c r="O15" s="70"/>
      <c r="P15" s="200">
        <f>G36</f>
        <v>25</v>
      </c>
      <c r="Q15" s="200">
        <f>G37</f>
        <v>25</v>
      </c>
      <c r="R15" s="194">
        <f>G38</f>
        <v>25</v>
      </c>
    </row>
    <row r="16" spans="2:24">
      <c r="E16" s="154" t="s">
        <v>31</v>
      </c>
      <c r="F16" s="210">
        <f>M81+M77+M73</f>
        <v>11.770000000000001</v>
      </c>
      <c r="G16" s="149" t="s">
        <v>107</v>
      </c>
      <c r="H16" s="212">
        <f t="shared" si="0"/>
        <v>12.95</v>
      </c>
      <c r="I16" s="150" t="s">
        <v>108</v>
      </c>
      <c r="J16" s="206">
        <f t="shared" si="1"/>
        <v>19.95</v>
      </c>
      <c r="K16" s="207" t="str">
        <f t="shared" si="2"/>
        <v>ＯＫ</v>
      </c>
      <c r="L16" s="180" t="s">
        <v>71</v>
      </c>
      <c r="M16" s="199">
        <f>G34</f>
        <v>25</v>
      </c>
      <c r="N16" s="182">
        <f>H35</f>
        <v>25</v>
      </c>
      <c r="O16" s="70"/>
      <c r="P16" s="181">
        <f>H36</f>
        <v>5</v>
      </c>
      <c r="Q16" s="181">
        <f>H37</f>
        <v>5</v>
      </c>
      <c r="R16" s="70"/>
    </row>
    <row r="17" spans="4:30" ht="14.25" thickBot="1">
      <c r="E17" s="166" t="s">
        <v>32</v>
      </c>
      <c r="F17" s="211" t="e">
        <f>M81+M77+M75</f>
        <v>#VALUE!</v>
      </c>
      <c r="G17" s="167" t="s">
        <v>107</v>
      </c>
      <c r="H17" s="213" t="e">
        <f t="shared" si="0"/>
        <v>#VALUE!</v>
      </c>
      <c r="I17" s="168" t="s">
        <v>108</v>
      </c>
      <c r="J17" s="208" t="e">
        <f t="shared" si="1"/>
        <v>#VALUE!</v>
      </c>
      <c r="K17" s="209" t="e">
        <f t="shared" si="2"/>
        <v>#VALUE!</v>
      </c>
      <c r="L17" s="197">
        <f>G49</f>
        <v>25</v>
      </c>
      <c r="M17" s="190" t="s">
        <v>117</v>
      </c>
      <c r="N17" s="178">
        <f>K34</f>
        <v>1.1000000000000001</v>
      </c>
      <c r="O17" s="70"/>
      <c r="P17" s="70"/>
      <c r="Q17" s="70"/>
      <c r="R17" s="70"/>
    </row>
    <row r="18" spans="4:30">
      <c r="E18" s="1"/>
      <c r="F18" s="129"/>
      <c r="G18" s="130"/>
      <c r="H18" s="131"/>
      <c r="I18" s="18"/>
      <c r="J18" s="18"/>
      <c r="K18" s="18"/>
      <c r="L18" s="5" t="s">
        <v>142</v>
      </c>
      <c r="M18" s="191" t="s">
        <v>121</v>
      </c>
      <c r="N18" s="179">
        <f>H34</f>
        <v>12</v>
      </c>
      <c r="O18" s="70"/>
      <c r="P18" s="70"/>
      <c r="Q18" s="70"/>
      <c r="R18" s="70"/>
    </row>
    <row r="19" spans="4:30" ht="14.25" thickBot="1">
      <c r="D19" s="518" t="s">
        <v>87</v>
      </c>
      <c r="E19" s="519"/>
      <c r="F19" s="519"/>
      <c r="G19" s="519"/>
      <c r="H19" s="519"/>
      <c r="I19" s="520"/>
      <c r="K19" s="205" t="s">
        <v>130</v>
      </c>
      <c r="Q19" s="70"/>
      <c r="R19" s="70"/>
      <c r="S19" s="18"/>
      <c r="T19" s="18"/>
      <c r="U19" s="18"/>
      <c r="V19" s="18"/>
      <c r="W19" s="18"/>
      <c r="X19" s="18"/>
      <c r="Y19" s="18"/>
      <c r="Z19" s="18"/>
    </row>
    <row r="20" spans="4:30" ht="14.25" thickBot="1">
      <c r="D20" s="524" t="s">
        <v>49</v>
      </c>
      <c r="E20" s="527" t="s">
        <v>0</v>
      </c>
      <c r="F20" s="455" t="s">
        <v>65</v>
      </c>
      <c r="G20" s="456"/>
      <c r="H20" s="77">
        <v>25</v>
      </c>
      <c r="I20" s="12" t="s">
        <v>81</v>
      </c>
      <c r="J20" s="90"/>
      <c r="K20" s="18"/>
      <c r="P20" s="470" t="s">
        <v>88</v>
      </c>
      <c r="Q20" s="510"/>
      <c r="R20" s="510"/>
      <c r="S20" s="510"/>
      <c r="T20" s="510"/>
      <c r="U20" s="510"/>
      <c r="V20" s="510"/>
      <c r="W20" s="510"/>
      <c r="X20" s="511"/>
      <c r="Y20" s="48"/>
      <c r="Z20" s="48"/>
    </row>
    <row r="21" spans="4:30">
      <c r="D21" s="525"/>
      <c r="E21" s="528"/>
      <c r="F21" s="455" t="s">
        <v>66</v>
      </c>
      <c r="G21" s="456"/>
      <c r="H21" s="77">
        <v>20</v>
      </c>
      <c r="I21" s="12" t="s">
        <v>1</v>
      </c>
      <c r="J21" s="90"/>
      <c r="P21" s="124" t="s">
        <v>50</v>
      </c>
      <c r="Q21" s="125"/>
      <c r="R21" s="125"/>
      <c r="S21" s="125"/>
      <c r="T21" s="125"/>
      <c r="U21" s="125"/>
      <c r="V21" s="125"/>
      <c r="W21" s="125"/>
      <c r="X21" s="126"/>
      <c r="Z21" s="48"/>
    </row>
    <row r="22" spans="4:30">
      <c r="D22" s="526"/>
      <c r="E22" s="529"/>
      <c r="F22" s="455" t="s">
        <v>68</v>
      </c>
      <c r="G22" s="456"/>
      <c r="H22" s="77">
        <v>5</v>
      </c>
      <c r="I22" s="12" t="s">
        <v>1</v>
      </c>
      <c r="J22" s="91"/>
      <c r="P22" s="107"/>
      <c r="Q22" s="9"/>
      <c r="R22" s="451" t="s">
        <v>4</v>
      </c>
      <c r="S22" s="73" t="s">
        <v>10</v>
      </c>
      <c r="T22" s="73" t="s">
        <v>10</v>
      </c>
      <c r="U22" s="481">
        <v>13</v>
      </c>
      <c r="V22" s="481">
        <v>20</v>
      </c>
      <c r="W22" s="481">
        <v>25</v>
      </c>
      <c r="X22" s="521">
        <v>40</v>
      </c>
      <c r="Z22" s="48"/>
    </row>
    <row r="23" spans="4:30" ht="13.5" customHeight="1">
      <c r="D23" s="524" t="s">
        <v>47</v>
      </c>
      <c r="E23" s="527" t="s">
        <v>8</v>
      </c>
      <c r="F23" s="530" t="s">
        <v>26</v>
      </c>
      <c r="G23" s="453" t="s">
        <v>29</v>
      </c>
      <c r="H23" s="451"/>
      <c r="I23" s="73" t="s">
        <v>4</v>
      </c>
      <c r="J23" s="73" t="s">
        <v>5</v>
      </c>
      <c r="K23" s="453" t="s">
        <v>75</v>
      </c>
      <c r="L23" s="451"/>
      <c r="M23" s="530" t="s">
        <v>74</v>
      </c>
      <c r="N23" s="542" t="s">
        <v>76</v>
      </c>
      <c r="P23" s="504" t="s">
        <v>19</v>
      </c>
      <c r="Q23" s="8"/>
      <c r="R23" s="488"/>
      <c r="S23" s="512" t="s">
        <v>24</v>
      </c>
      <c r="T23" s="512" t="s">
        <v>51</v>
      </c>
      <c r="U23" s="481"/>
      <c r="V23" s="481"/>
      <c r="W23" s="481"/>
      <c r="X23" s="521"/>
      <c r="Z23" s="48"/>
    </row>
    <row r="24" spans="4:30" s="70" customFormat="1" ht="14.25" customHeight="1">
      <c r="D24" s="525"/>
      <c r="E24" s="528"/>
      <c r="F24" s="513"/>
      <c r="G24" s="454"/>
      <c r="H24" s="452"/>
      <c r="I24" s="74" t="s">
        <v>16</v>
      </c>
      <c r="J24" s="74" t="s">
        <v>6</v>
      </c>
      <c r="K24" s="454"/>
      <c r="L24" s="452"/>
      <c r="M24" s="513"/>
      <c r="N24" s="543"/>
      <c r="O24" s="80"/>
      <c r="P24" s="505"/>
      <c r="Q24" s="10"/>
      <c r="R24" s="11"/>
      <c r="S24" s="513"/>
      <c r="T24" s="513"/>
      <c r="U24" s="481"/>
      <c r="V24" s="481"/>
      <c r="W24" s="481"/>
      <c r="X24" s="521"/>
      <c r="Y24" s="3"/>
      <c r="Z24" s="48"/>
      <c r="AA24" s="3"/>
      <c r="AB24" s="3"/>
      <c r="AC24" s="3"/>
    </row>
    <row r="25" spans="4:30" ht="13.5" customHeight="1">
      <c r="D25" s="525"/>
      <c r="E25" s="528"/>
      <c r="F25" s="61" t="s">
        <v>135</v>
      </c>
      <c r="G25" s="479" t="s">
        <v>136</v>
      </c>
      <c r="H25" s="479"/>
      <c r="I25" s="269">
        <v>13</v>
      </c>
      <c r="J25" s="269">
        <v>5</v>
      </c>
      <c r="K25" s="479" t="s">
        <v>138</v>
      </c>
      <c r="L25" s="479"/>
      <c r="M25" s="270">
        <v>0</v>
      </c>
      <c r="N25" s="271"/>
      <c r="O25" s="80"/>
      <c r="P25" s="506" t="str">
        <f t="shared" ref="P25:P31" si="4">"　給水栓 "&amp;F25</f>
        <v>　給水栓 G</v>
      </c>
      <c r="Q25" s="507"/>
      <c r="R25" s="508"/>
      <c r="S25" s="102">
        <f>J25</f>
        <v>5</v>
      </c>
      <c r="T25" s="28">
        <f t="shared" ref="T25:T29" si="5">S25/60</f>
        <v>8.3333333333333329E-2</v>
      </c>
      <c r="U25" s="43">
        <f>X37</f>
        <v>0.2</v>
      </c>
      <c r="V25" s="43">
        <f>X38</f>
        <v>0</v>
      </c>
      <c r="W25" s="43">
        <f>X39</f>
        <v>0</v>
      </c>
      <c r="X25" s="109"/>
      <c r="Y25" s="17"/>
      <c r="Z25" s="48"/>
    </row>
    <row r="26" spans="4:30">
      <c r="D26" s="525"/>
      <c r="E26" s="528"/>
      <c r="F26" s="61" t="s">
        <v>134</v>
      </c>
      <c r="G26" s="468" t="s">
        <v>25</v>
      </c>
      <c r="H26" s="469"/>
      <c r="I26" s="275">
        <v>13</v>
      </c>
      <c r="J26" s="269"/>
      <c r="K26" s="479"/>
      <c r="L26" s="479"/>
      <c r="M26" s="270">
        <v>0</v>
      </c>
      <c r="N26" s="271"/>
      <c r="P26" s="482" t="str">
        <f t="shared" si="4"/>
        <v>　給水栓 F</v>
      </c>
      <c r="Q26" s="483"/>
      <c r="R26" s="484"/>
      <c r="S26" s="104">
        <f>J26</f>
        <v>0</v>
      </c>
      <c r="T26" s="29">
        <f t="shared" si="5"/>
        <v>0</v>
      </c>
      <c r="U26" s="44" t="str">
        <f>X40</f>
        <v/>
      </c>
      <c r="V26" s="44" t="str">
        <f>X41</f>
        <v/>
      </c>
      <c r="W26" s="44" t="str">
        <f>X42</f>
        <v/>
      </c>
      <c r="X26" s="109"/>
      <c r="Y26" s="17"/>
      <c r="Z26" s="48"/>
    </row>
    <row r="27" spans="4:30" ht="13.5" customHeight="1">
      <c r="D27" s="525"/>
      <c r="E27" s="528"/>
      <c r="F27" s="61" t="s">
        <v>45</v>
      </c>
      <c r="G27" s="479" t="s">
        <v>2</v>
      </c>
      <c r="H27" s="479"/>
      <c r="I27" s="269">
        <v>13</v>
      </c>
      <c r="J27" s="269">
        <v>8</v>
      </c>
      <c r="K27" s="479" t="s">
        <v>139</v>
      </c>
      <c r="L27" s="479"/>
      <c r="M27" s="270">
        <v>0</v>
      </c>
      <c r="N27" s="271"/>
      <c r="P27" s="485" t="str">
        <f t="shared" si="4"/>
        <v>　給水栓 E</v>
      </c>
      <c r="Q27" s="486"/>
      <c r="R27" s="487"/>
      <c r="S27" s="105">
        <f>J27</f>
        <v>8</v>
      </c>
      <c r="T27" s="38">
        <f t="shared" si="5"/>
        <v>0.13333333333333333</v>
      </c>
      <c r="U27" s="45">
        <f>X43</f>
        <v>0.4</v>
      </c>
      <c r="V27" s="45">
        <f>X44</f>
        <v>0.1</v>
      </c>
      <c r="W27" s="45">
        <f>X45</f>
        <v>0</v>
      </c>
      <c r="X27" s="109"/>
      <c r="Y27" s="17"/>
      <c r="Z27" s="48"/>
    </row>
    <row r="28" spans="4:30">
      <c r="D28" s="525"/>
      <c r="E28" s="528"/>
      <c r="F28" s="61" t="s">
        <v>43</v>
      </c>
      <c r="G28" s="479" t="s">
        <v>137</v>
      </c>
      <c r="H28" s="479"/>
      <c r="I28" s="269">
        <v>13</v>
      </c>
      <c r="J28" s="269">
        <v>8</v>
      </c>
      <c r="K28" s="479" t="s">
        <v>139</v>
      </c>
      <c r="L28" s="479"/>
      <c r="M28" s="270">
        <v>0</v>
      </c>
      <c r="N28" s="271"/>
      <c r="P28" s="501" t="str">
        <f t="shared" si="4"/>
        <v>　給水栓 D</v>
      </c>
      <c r="Q28" s="502"/>
      <c r="R28" s="503"/>
      <c r="S28" s="106">
        <f t="shared" ref="S28" si="6">J28</f>
        <v>8</v>
      </c>
      <c r="T28" s="30">
        <f t="shared" si="5"/>
        <v>0.13333333333333333</v>
      </c>
      <c r="U28" s="217">
        <f>X44</f>
        <v>0.1</v>
      </c>
      <c r="V28" s="217">
        <f>X45</f>
        <v>0</v>
      </c>
      <c r="W28" s="217">
        <f>X46</f>
        <v>0.4</v>
      </c>
      <c r="X28" s="109"/>
      <c r="Y28" s="17"/>
      <c r="Z28" s="48"/>
    </row>
    <row r="29" spans="4:30" ht="13.5" customHeight="1">
      <c r="D29" s="525"/>
      <c r="E29" s="528"/>
      <c r="F29" s="61" t="s">
        <v>44</v>
      </c>
      <c r="G29" s="534" t="s">
        <v>2</v>
      </c>
      <c r="H29" s="535"/>
      <c r="I29" s="269">
        <v>13</v>
      </c>
      <c r="J29" s="269">
        <v>8</v>
      </c>
      <c r="K29" s="479" t="s">
        <v>139</v>
      </c>
      <c r="L29" s="479"/>
      <c r="M29" s="270">
        <v>0</v>
      </c>
      <c r="N29" s="531" t="s">
        <v>77</v>
      </c>
      <c r="P29" s="536" t="str">
        <f t="shared" si="4"/>
        <v>　給水栓 C</v>
      </c>
      <c r="Q29" s="537"/>
      <c r="R29" s="538"/>
      <c r="S29" s="215">
        <f>J29</f>
        <v>8</v>
      </c>
      <c r="T29" s="215">
        <f t="shared" si="5"/>
        <v>0.13333333333333333</v>
      </c>
      <c r="U29" s="216">
        <f>X49</f>
        <v>0.4</v>
      </c>
      <c r="V29" s="216">
        <f>X47</f>
        <v>0.1</v>
      </c>
      <c r="W29" s="216">
        <f>X51</f>
        <v>0</v>
      </c>
      <c r="X29" s="109"/>
      <c r="Y29" s="17"/>
      <c r="Z29" s="48"/>
    </row>
    <row r="30" spans="4:30">
      <c r="D30" s="525"/>
      <c r="E30" s="528"/>
      <c r="F30" s="61" t="s">
        <v>41</v>
      </c>
      <c r="G30" s="534" t="s">
        <v>3</v>
      </c>
      <c r="H30" s="535"/>
      <c r="I30" s="269">
        <v>20</v>
      </c>
      <c r="J30" s="269">
        <v>20</v>
      </c>
      <c r="K30" s="534" t="s">
        <v>69</v>
      </c>
      <c r="L30" s="535"/>
      <c r="M30" s="270">
        <v>7</v>
      </c>
      <c r="N30" s="532"/>
      <c r="P30" s="539" t="str">
        <f t="shared" si="4"/>
        <v>　給水栓 B</v>
      </c>
      <c r="Q30" s="540"/>
      <c r="R30" s="541"/>
      <c r="S30" s="218">
        <f>J30</f>
        <v>20</v>
      </c>
      <c r="T30" s="218">
        <f t="shared" ref="T30" si="7">S30/60</f>
        <v>0.33333333333333331</v>
      </c>
      <c r="U30" s="219">
        <f>X52</f>
        <v>2</v>
      </c>
      <c r="V30" s="219">
        <f>X53</f>
        <v>0.6</v>
      </c>
      <c r="W30" s="219">
        <f>X51</f>
        <v>0</v>
      </c>
      <c r="X30" s="109"/>
      <c r="Y30" s="17"/>
      <c r="Z30" s="48"/>
      <c r="AD30" s="13"/>
    </row>
    <row r="31" spans="4:30">
      <c r="D31" s="525"/>
      <c r="E31" s="528"/>
      <c r="F31" s="61" t="s">
        <v>39</v>
      </c>
      <c r="G31" s="468" t="s">
        <v>25</v>
      </c>
      <c r="H31" s="469"/>
      <c r="I31" s="275">
        <v>13</v>
      </c>
      <c r="J31" s="269"/>
      <c r="K31" s="479"/>
      <c r="L31" s="479"/>
      <c r="M31" s="270">
        <v>0</v>
      </c>
      <c r="N31" s="533"/>
      <c r="P31" s="461" t="str">
        <f t="shared" si="4"/>
        <v>　給水栓 A</v>
      </c>
      <c r="Q31" s="462"/>
      <c r="R31" s="463"/>
      <c r="S31" s="39">
        <f>J31</f>
        <v>0</v>
      </c>
      <c r="T31" s="39">
        <f t="shared" ref="T31:T34" si="8">S31/60</f>
        <v>0</v>
      </c>
      <c r="U31" s="245" t="str">
        <f>X55</f>
        <v/>
      </c>
      <c r="V31" s="245" t="str">
        <f>X56</f>
        <v/>
      </c>
      <c r="W31" s="245" t="str">
        <f>X57</f>
        <v/>
      </c>
      <c r="X31" s="109"/>
      <c r="Y31" s="17"/>
      <c r="Z31" s="48"/>
      <c r="AD31" s="13"/>
    </row>
    <row r="32" spans="4:30">
      <c r="D32" s="526"/>
      <c r="E32" s="529"/>
      <c r="F32" s="84"/>
      <c r="G32" s="68"/>
      <c r="H32" s="61"/>
      <c r="I32" s="64" t="s">
        <v>7</v>
      </c>
      <c r="J32" s="64">
        <f>SUM(J25:J31)</f>
        <v>49</v>
      </c>
      <c r="K32" s="60"/>
      <c r="L32" s="68"/>
      <c r="M32" s="85"/>
      <c r="N32" s="86"/>
      <c r="P32" s="110" t="s">
        <v>150</v>
      </c>
      <c r="Q32" s="71"/>
      <c r="R32" s="72"/>
      <c r="S32" s="103">
        <f>J32</f>
        <v>49</v>
      </c>
      <c r="T32" s="20">
        <f t="shared" si="8"/>
        <v>0.81666666666666665</v>
      </c>
      <c r="U32" s="21">
        <f>X58</f>
        <v>8.3000000000000007</v>
      </c>
      <c r="V32" s="21">
        <f>X59</f>
        <v>2.6</v>
      </c>
      <c r="W32" s="21">
        <f>X60</f>
        <v>2</v>
      </c>
      <c r="X32" s="109" t="str">
        <f>X55</f>
        <v/>
      </c>
      <c r="Y32" s="17"/>
      <c r="Z32" s="48"/>
      <c r="AD32" s="13"/>
    </row>
    <row r="33" spans="4:30">
      <c r="D33" s="524" t="s">
        <v>48</v>
      </c>
      <c r="E33" s="527" t="s">
        <v>70</v>
      </c>
      <c r="F33" s="64" t="s">
        <v>9</v>
      </c>
      <c r="G33" s="64" t="s">
        <v>4</v>
      </c>
      <c r="H33" s="61" t="s">
        <v>83</v>
      </c>
      <c r="I33" s="455" t="s">
        <v>80</v>
      </c>
      <c r="J33" s="456"/>
      <c r="K33" s="64" t="s">
        <v>82</v>
      </c>
      <c r="L33" s="65"/>
      <c r="M33" s="18"/>
      <c r="N33" s="18"/>
      <c r="P33" s="110" t="s">
        <v>21</v>
      </c>
      <c r="Q33" s="71"/>
      <c r="R33" s="72"/>
      <c r="S33" s="103">
        <f>S32</f>
        <v>49</v>
      </c>
      <c r="T33" s="20">
        <f t="shared" si="8"/>
        <v>0.81666666666666665</v>
      </c>
      <c r="U33" s="21">
        <f>X62</f>
        <v>10.6</v>
      </c>
      <c r="V33" s="21">
        <f>X63</f>
        <v>3.3</v>
      </c>
      <c r="W33" s="21">
        <f>X64</f>
        <v>1.2</v>
      </c>
      <c r="X33" s="109"/>
      <c r="Z33" s="48"/>
      <c r="AD33" s="13"/>
    </row>
    <row r="34" spans="4:30">
      <c r="D34" s="525"/>
      <c r="E34" s="528"/>
      <c r="F34" s="64" t="s">
        <v>144</v>
      </c>
      <c r="G34" s="269">
        <v>25</v>
      </c>
      <c r="H34" s="272">
        <v>12</v>
      </c>
      <c r="I34" s="273"/>
      <c r="J34" s="274"/>
      <c r="K34" s="269">
        <v>1.1000000000000001</v>
      </c>
      <c r="P34" s="110" t="s">
        <v>22</v>
      </c>
      <c r="Q34" s="71"/>
      <c r="R34" s="72"/>
      <c r="S34" s="103">
        <f>S33</f>
        <v>49</v>
      </c>
      <c r="T34" s="20">
        <f t="shared" si="8"/>
        <v>0.81666666666666665</v>
      </c>
      <c r="U34" s="21">
        <f>X65</f>
        <v>8</v>
      </c>
      <c r="V34" s="21">
        <f>X66</f>
        <v>1.1000000000000001</v>
      </c>
      <c r="W34" s="21">
        <f>X67</f>
        <v>0.5</v>
      </c>
      <c r="X34" s="109"/>
      <c r="Y34" s="70"/>
      <c r="Z34" s="48"/>
      <c r="AD34" s="13"/>
    </row>
    <row r="35" spans="4:30" ht="14.25" thickBot="1">
      <c r="D35" s="525"/>
      <c r="E35" s="528"/>
      <c r="F35" s="64" t="s">
        <v>145</v>
      </c>
      <c r="G35" s="269">
        <v>25</v>
      </c>
      <c r="H35" s="272">
        <v>25</v>
      </c>
      <c r="I35" s="273"/>
      <c r="J35" s="274"/>
      <c r="K35" s="269"/>
      <c r="P35" s="127" t="s">
        <v>86</v>
      </c>
      <c r="Q35" s="128"/>
      <c r="R35" s="125"/>
      <c r="S35" s="125"/>
      <c r="T35" s="125"/>
      <c r="U35" s="125"/>
      <c r="V35" s="125"/>
      <c r="W35" s="125"/>
      <c r="X35" s="126"/>
      <c r="Y35" s="70"/>
      <c r="Z35" s="48"/>
      <c r="AD35" s="13"/>
    </row>
    <row r="36" spans="4:30" ht="14.25" thickTop="1">
      <c r="D36" s="525"/>
      <c r="E36" s="528"/>
      <c r="F36" s="64" t="s">
        <v>94</v>
      </c>
      <c r="G36" s="269">
        <v>25</v>
      </c>
      <c r="H36" s="272">
        <v>5</v>
      </c>
      <c r="I36" s="273"/>
      <c r="J36" s="274"/>
      <c r="K36" s="269"/>
      <c r="P36" s="111"/>
      <c r="Q36" s="61"/>
      <c r="R36" s="64"/>
      <c r="S36" s="64" t="s">
        <v>57</v>
      </c>
      <c r="T36" s="64" t="s">
        <v>58</v>
      </c>
      <c r="U36" s="64" t="s">
        <v>84</v>
      </c>
      <c r="V36" s="64" t="s">
        <v>59</v>
      </c>
      <c r="W36" s="60" t="s">
        <v>60</v>
      </c>
      <c r="X36" s="112" t="s">
        <v>85</v>
      </c>
      <c r="Y36" s="70"/>
      <c r="Z36" s="48"/>
      <c r="AD36" s="13"/>
    </row>
    <row r="37" spans="4:30">
      <c r="D37" s="525"/>
      <c r="E37" s="528"/>
      <c r="F37" s="64" t="s">
        <v>95</v>
      </c>
      <c r="G37" s="269">
        <v>25</v>
      </c>
      <c r="H37" s="272">
        <v>5</v>
      </c>
      <c r="I37" s="273"/>
      <c r="J37" s="274"/>
      <c r="K37" s="269"/>
      <c r="P37" s="262" t="str">
        <f>P25</f>
        <v>　給水栓 G</v>
      </c>
      <c r="Q37" s="263"/>
      <c r="R37" s="22">
        <v>13</v>
      </c>
      <c r="S37" s="23">
        <v>1.8340000000000001</v>
      </c>
      <c r="T37" s="23">
        <v>1.1850000000000001</v>
      </c>
      <c r="U37" s="95">
        <f>T25</f>
        <v>8.3333333333333329E-2</v>
      </c>
      <c r="V37" s="23">
        <f t="shared" ref="V37:V42" si="9">LOG10(U37)</f>
        <v>-1.0791812460476249</v>
      </c>
      <c r="W37" s="31">
        <f>S37*V37+T37</f>
        <v>-0.79421840525134413</v>
      </c>
      <c r="X37" s="113">
        <f>IF(U37&lt;=0,"",ROUND(10^W37,1))</f>
        <v>0.2</v>
      </c>
      <c r="Y37" s="70"/>
      <c r="Z37" s="48"/>
      <c r="AD37" s="13"/>
    </row>
    <row r="38" spans="4:30">
      <c r="D38" s="525"/>
      <c r="E38" s="528"/>
      <c r="F38" s="64" t="s">
        <v>96</v>
      </c>
      <c r="G38" s="269">
        <v>25</v>
      </c>
      <c r="H38" s="272">
        <v>10</v>
      </c>
      <c r="I38" s="273"/>
      <c r="J38" s="274"/>
      <c r="K38" s="269">
        <v>3.6</v>
      </c>
      <c r="P38" s="108" t="str">
        <f>P37</f>
        <v>　給水栓 G</v>
      </c>
      <c r="Q38" s="66"/>
      <c r="R38" s="22">
        <v>20</v>
      </c>
      <c r="S38" s="23">
        <v>2</v>
      </c>
      <c r="T38" s="23">
        <v>0.69899999999999995</v>
      </c>
      <c r="U38" s="95">
        <f>U37</f>
        <v>8.3333333333333329E-2</v>
      </c>
      <c r="V38" s="23">
        <f t="shared" si="9"/>
        <v>-1.0791812460476249</v>
      </c>
      <c r="W38" s="31">
        <f>S38*V38+T38</f>
        <v>-1.4593624920952499</v>
      </c>
      <c r="X38" s="113">
        <f t="shared" ref="X38:X42" si="10">IF(U38&lt;=0,"",ROUND(10^W38,1))</f>
        <v>0</v>
      </c>
      <c r="Y38" s="70"/>
      <c r="Z38" s="48"/>
      <c r="AD38" s="13"/>
    </row>
    <row r="39" spans="4:30">
      <c r="D39" s="525"/>
      <c r="E39" s="528"/>
      <c r="F39" s="64" t="s">
        <v>146</v>
      </c>
      <c r="G39" s="269">
        <v>25</v>
      </c>
      <c r="H39" s="272">
        <v>3</v>
      </c>
      <c r="I39" s="273"/>
      <c r="J39" s="274"/>
      <c r="K39" s="269"/>
      <c r="P39" s="108" t="str">
        <f>P38</f>
        <v>　給水栓 G</v>
      </c>
      <c r="Q39" s="66"/>
      <c r="R39" s="22">
        <v>25</v>
      </c>
      <c r="S39" s="23">
        <v>2.0977999999999999</v>
      </c>
      <c r="T39" s="23">
        <v>0.2792</v>
      </c>
      <c r="U39" s="95">
        <f>U38</f>
        <v>8.3333333333333329E-2</v>
      </c>
      <c r="V39" s="23">
        <f t="shared" si="9"/>
        <v>-1.0791812460476249</v>
      </c>
      <c r="W39" s="31">
        <f>S39*V39+T39</f>
        <v>-1.9847064179587073</v>
      </c>
      <c r="X39" s="113">
        <f t="shared" si="10"/>
        <v>0</v>
      </c>
      <c r="Y39" s="70"/>
      <c r="Z39" s="48"/>
      <c r="AD39" s="13"/>
    </row>
    <row r="40" spans="4:30">
      <c r="D40" s="525"/>
      <c r="E40" s="528"/>
      <c r="F40" s="64" t="s">
        <v>92</v>
      </c>
      <c r="G40" s="269">
        <v>25</v>
      </c>
      <c r="H40" s="272">
        <v>5</v>
      </c>
      <c r="I40" s="273"/>
      <c r="J40" s="274"/>
      <c r="K40" s="269">
        <v>2.8</v>
      </c>
      <c r="P40" s="260" t="str">
        <f>P26</f>
        <v>　給水栓 F</v>
      </c>
      <c r="Q40" s="261"/>
      <c r="R40" s="24">
        <v>13</v>
      </c>
      <c r="S40" s="25">
        <v>1.8340000000000001</v>
      </c>
      <c r="T40" s="25">
        <v>1.1850000000000001</v>
      </c>
      <c r="U40" s="96">
        <f>T26</f>
        <v>0</v>
      </c>
      <c r="V40" s="25" t="e">
        <f>LOG10(U40)</f>
        <v>#NUM!</v>
      </c>
      <c r="W40" s="32" t="e">
        <f t="shared" ref="W40:W41" si="11">S40*V40+T40</f>
        <v>#NUM!</v>
      </c>
      <c r="X40" s="115" t="str">
        <f t="shared" si="10"/>
        <v/>
      </c>
      <c r="Y40" s="70"/>
      <c r="Z40" s="48"/>
      <c r="AD40" s="13"/>
    </row>
    <row r="41" spans="4:30">
      <c r="D41" s="525"/>
      <c r="E41" s="528"/>
      <c r="F41" s="64" t="s">
        <v>56</v>
      </c>
      <c r="G41" s="269"/>
      <c r="H41" s="272"/>
      <c r="I41" s="273"/>
      <c r="J41" s="274"/>
      <c r="K41" s="269"/>
      <c r="P41" s="114" t="str">
        <f>P40</f>
        <v>　給水栓 F</v>
      </c>
      <c r="Q41" s="67"/>
      <c r="R41" s="24">
        <v>20</v>
      </c>
      <c r="S41" s="25">
        <v>2</v>
      </c>
      <c r="T41" s="25">
        <v>0.69899999999999995</v>
      </c>
      <c r="U41" s="96">
        <f>U40</f>
        <v>0</v>
      </c>
      <c r="V41" s="25" t="e">
        <f t="shared" si="9"/>
        <v>#NUM!</v>
      </c>
      <c r="W41" s="32" t="e">
        <f t="shared" si="11"/>
        <v>#NUM!</v>
      </c>
      <c r="X41" s="115" t="str">
        <f t="shared" si="10"/>
        <v/>
      </c>
      <c r="Y41" s="70"/>
      <c r="Z41" s="48"/>
      <c r="AD41" s="13"/>
    </row>
    <row r="42" spans="4:30">
      <c r="D42" s="525"/>
      <c r="E42" s="528"/>
      <c r="F42" s="64" t="s">
        <v>98</v>
      </c>
      <c r="G42" s="269">
        <v>20</v>
      </c>
      <c r="H42" s="272">
        <v>3</v>
      </c>
      <c r="I42" s="273"/>
      <c r="J42" s="274"/>
      <c r="K42" s="272">
        <v>0.6</v>
      </c>
      <c r="P42" s="114" t="str">
        <f>P41</f>
        <v>　給水栓 F</v>
      </c>
      <c r="Q42" s="67"/>
      <c r="R42" s="24">
        <v>25</v>
      </c>
      <c r="S42" s="25">
        <v>2.0977999999999999</v>
      </c>
      <c r="T42" s="25">
        <v>0.2792</v>
      </c>
      <c r="U42" s="96">
        <f>U41</f>
        <v>0</v>
      </c>
      <c r="V42" s="25" t="e">
        <f t="shared" si="9"/>
        <v>#NUM!</v>
      </c>
      <c r="W42" s="32" t="e">
        <f>S42*V42+T42</f>
        <v>#NUM!</v>
      </c>
      <c r="X42" s="115" t="str">
        <f t="shared" si="10"/>
        <v/>
      </c>
      <c r="Y42" s="70"/>
      <c r="Z42" s="48"/>
      <c r="AD42" s="13"/>
    </row>
    <row r="43" spans="4:30">
      <c r="D43" s="525"/>
      <c r="E43" s="528"/>
      <c r="F43" s="64" t="s">
        <v>99</v>
      </c>
      <c r="G43" s="269">
        <v>13</v>
      </c>
      <c r="H43" s="272">
        <v>3</v>
      </c>
      <c r="I43" s="273"/>
      <c r="J43" s="274"/>
      <c r="K43" s="272">
        <v>0.6</v>
      </c>
      <c r="P43" s="238" t="str">
        <f>P27</f>
        <v>　給水栓 E</v>
      </c>
      <c r="Q43" s="239"/>
      <c r="R43" s="240">
        <v>13</v>
      </c>
      <c r="S43" s="241">
        <v>1.8340000000000001</v>
      </c>
      <c r="T43" s="241">
        <v>1.1850000000000001</v>
      </c>
      <c r="U43" s="242">
        <f>T27</f>
        <v>0.13333333333333333</v>
      </c>
      <c r="V43" s="241">
        <f t="shared" ref="V43:V67" si="12">LOG10(U43)</f>
        <v>-0.87506126339170009</v>
      </c>
      <c r="W43" s="243">
        <f>S43*V43+T43</f>
        <v>-0.41986235706037789</v>
      </c>
      <c r="X43" s="244">
        <f>IF(U43&lt;=0,"",ROUND(10^W43,1))</f>
        <v>0.4</v>
      </c>
      <c r="Y43" s="70"/>
      <c r="Z43" s="48"/>
      <c r="AD43" s="13"/>
    </row>
    <row r="44" spans="4:30">
      <c r="D44" s="525"/>
      <c r="E44" s="528"/>
      <c r="F44" s="64" t="s">
        <v>89</v>
      </c>
      <c r="G44" s="269">
        <v>13</v>
      </c>
      <c r="H44" s="272">
        <v>2</v>
      </c>
      <c r="I44" s="273"/>
      <c r="J44" s="274"/>
      <c r="K44" s="272">
        <v>0.6</v>
      </c>
      <c r="P44" s="238" t="str">
        <f>P43</f>
        <v>　給水栓 E</v>
      </c>
      <c r="Q44" s="239"/>
      <c r="R44" s="240">
        <v>20</v>
      </c>
      <c r="S44" s="241">
        <v>2</v>
      </c>
      <c r="T44" s="241">
        <v>0.69899999999999995</v>
      </c>
      <c r="U44" s="242">
        <f>U43</f>
        <v>0.13333333333333333</v>
      </c>
      <c r="V44" s="241">
        <f t="shared" si="12"/>
        <v>-0.87506126339170009</v>
      </c>
      <c r="W44" s="243">
        <f>S44*V44+T44</f>
        <v>-1.0511225267834003</v>
      </c>
      <c r="X44" s="244">
        <f t="shared" ref="X44:X67" si="13">IF(U44&lt;=0,"",ROUND(10^W44,1))</f>
        <v>0.1</v>
      </c>
      <c r="Y44" s="70"/>
      <c r="Z44" s="48"/>
      <c r="AD44" s="13"/>
    </row>
    <row r="45" spans="4:30">
      <c r="D45" s="525"/>
      <c r="E45" s="528"/>
      <c r="F45" s="64" t="s">
        <v>147</v>
      </c>
      <c r="G45" s="269">
        <v>13</v>
      </c>
      <c r="H45" s="272">
        <v>2</v>
      </c>
      <c r="I45" s="273"/>
      <c r="J45" s="274"/>
      <c r="K45" s="272">
        <v>0.6</v>
      </c>
      <c r="P45" s="238" t="str">
        <f>P44</f>
        <v>　給水栓 E</v>
      </c>
      <c r="Q45" s="239"/>
      <c r="R45" s="240">
        <v>25</v>
      </c>
      <c r="S45" s="241">
        <v>2.0977999999999999</v>
      </c>
      <c r="T45" s="241">
        <v>0.2792</v>
      </c>
      <c r="U45" s="242">
        <f>U44</f>
        <v>0.13333333333333333</v>
      </c>
      <c r="V45" s="241">
        <f t="shared" si="12"/>
        <v>-0.87506126339170009</v>
      </c>
      <c r="W45" s="243">
        <f>S45*V45+T45</f>
        <v>-1.5565035183431082</v>
      </c>
      <c r="X45" s="244">
        <f t="shared" si="13"/>
        <v>0</v>
      </c>
      <c r="Y45" s="70"/>
      <c r="Z45" s="48"/>
      <c r="AD45" s="13"/>
    </row>
    <row r="46" spans="4:30">
      <c r="D46" s="525"/>
      <c r="E46" s="528"/>
      <c r="F46" s="64" t="s">
        <v>148</v>
      </c>
      <c r="G46" s="269"/>
      <c r="H46" s="272"/>
      <c r="I46" s="273"/>
      <c r="J46" s="274"/>
      <c r="K46" s="272"/>
      <c r="P46" s="264" t="str">
        <f>P28</f>
        <v>　給水栓 D</v>
      </c>
      <c r="Q46" s="232"/>
      <c r="R46" s="233">
        <v>13</v>
      </c>
      <c r="S46" s="234">
        <v>1.8340000000000001</v>
      </c>
      <c r="T46" s="234">
        <v>1.1850000000000001</v>
      </c>
      <c r="U46" s="235">
        <f>T28</f>
        <v>0.13333333333333333</v>
      </c>
      <c r="V46" s="234">
        <f t="shared" si="12"/>
        <v>-0.87506126339170009</v>
      </c>
      <c r="W46" s="236">
        <f t="shared" ref="W46:W67" si="14">S46*V46+T46</f>
        <v>-0.41986235706037789</v>
      </c>
      <c r="X46" s="237">
        <f t="shared" si="13"/>
        <v>0.4</v>
      </c>
      <c r="Y46" s="70"/>
      <c r="Z46" s="48"/>
      <c r="AD46" s="13"/>
    </row>
    <row r="47" spans="4:30">
      <c r="D47" s="525"/>
      <c r="E47" s="528"/>
      <c r="F47" s="64" t="s">
        <v>149</v>
      </c>
      <c r="G47" s="269">
        <v>13</v>
      </c>
      <c r="H47" s="272">
        <v>3</v>
      </c>
      <c r="I47" s="273"/>
      <c r="J47" s="274"/>
      <c r="K47" s="272">
        <v>0.6</v>
      </c>
      <c r="P47" s="264" t="str">
        <f>P46</f>
        <v>　給水栓 D</v>
      </c>
      <c r="Q47" s="232"/>
      <c r="R47" s="233">
        <v>20</v>
      </c>
      <c r="S47" s="234">
        <v>2</v>
      </c>
      <c r="T47" s="234">
        <v>0.69899999999999995</v>
      </c>
      <c r="U47" s="235">
        <f>U46</f>
        <v>0.13333333333333333</v>
      </c>
      <c r="V47" s="234">
        <f t="shared" si="12"/>
        <v>-0.87506126339170009</v>
      </c>
      <c r="W47" s="236">
        <f t="shared" si="14"/>
        <v>-1.0511225267834003</v>
      </c>
      <c r="X47" s="237">
        <f t="shared" si="13"/>
        <v>0.1</v>
      </c>
      <c r="Y47" s="70"/>
      <c r="Z47" s="48"/>
    </row>
    <row r="48" spans="4:30">
      <c r="D48" s="525"/>
      <c r="E48" s="528"/>
      <c r="F48" s="64" t="s">
        <v>33</v>
      </c>
      <c r="G48" s="269">
        <v>25</v>
      </c>
      <c r="H48" s="83"/>
      <c r="I48" s="92"/>
      <c r="J48" s="93"/>
      <c r="K48" s="94"/>
      <c r="P48" s="264" t="str">
        <f>P47</f>
        <v>　給水栓 D</v>
      </c>
      <c r="Q48" s="232"/>
      <c r="R48" s="233">
        <v>25</v>
      </c>
      <c r="S48" s="234">
        <v>2.0977999999999999</v>
      </c>
      <c r="T48" s="234">
        <v>0.2792</v>
      </c>
      <c r="U48" s="235">
        <f>U47</f>
        <v>0.13333333333333333</v>
      </c>
      <c r="V48" s="234">
        <f t="shared" si="12"/>
        <v>-0.87506126339170009</v>
      </c>
      <c r="W48" s="236">
        <f t="shared" si="14"/>
        <v>-1.5565035183431082</v>
      </c>
      <c r="X48" s="237">
        <f t="shared" si="13"/>
        <v>0</v>
      </c>
      <c r="Y48" s="70"/>
      <c r="Z48" s="48"/>
    </row>
    <row r="49" spans="4:26">
      <c r="D49" s="525"/>
      <c r="E49" s="528"/>
      <c r="F49" s="64" t="s">
        <v>72</v>
      </c>
      <c r="G49" s="269">
        <v>25</v>
      </c>
      <c r="H49" s="83"/>
      <c r="I49" s="92"/>
      <c r="J49" s="93"/>
      <c r="K49" s="94"/>
      <c r="M49" s="205" t="s">
        <v>161</v>
      </c>
      <c r="P49" s="265" t="str">
        <f>P29</f>
        <v>　給水栓 C</v>
      </c>
      <c r="Q49" s="226"/>
      <c r="R49" s="227">
        <v>13</v>
      </c>
      <c r="S49" s="228">
        <v>1.8340000000000001</v>
      </c>
      <c r="T49" s="228">
        <v>1.1850000000000001</v>
      </c>
      <c r="U49" s="229">
        <f>T29</f>
        <v>0.13333333333333333</v>
      </c>
      <c r="V49" s="228">
        <f t="shared" si="12"/>
        <v>-0.87506126339170009</v>
      </c>
      <c r="W49" s="230">
        <f t="shared" si="14"/>
        <v>-0.41986235706037789</v>
      </c>
      <c r="X49" s="231">
        <f t="shared" si="13"/>
        <v>0.4</v>
      </c>
      <c r="Y49" s="70"/>
      <c r="Z49" s="48"/>
    </row>
    <row r="50" spans="4:26">
      <c r="D50" s="526"/>
      <c r="E50" s="529"/>
      <c r="F50" s="64" t="s">
        <v>71</v>
      </c>
      <c r="G50" s="269">
        <v>25</v>
      </c>
      <c r="H50" s="83"/>
      <c r="I50" s="92"/>
      <c r="J50" s="93"/>
      <c r="K50" s="94"/>
      <c r="N50" s="205"/>
      <c r="P50" s="265" t="str">
        <f>P49</f>
        <v>　給水栓 C</v>
      </c>
      <c r="Q50" s="226"/>
      <c r="R50" s="227">
        <v>20</v>
      </c>
      <c r="S50" s="228">
        <v>2</v>
      </c>
      <c r="T50" s="228">
        <v>0.69899999999999995</v>
      </c>
      <c r="U50" s="229">
        <f>U49</f>
        <v>0.13333333333333333</v>
      </c>
      <c r="V50" s="228">
        <f t="shared" si="12"/>
        <v>-0.87506126339170009</v>
      </c>
      <c r="W50" s="230">
        <f t="shared" si="14"/>
        <v>-1.0511225267834003</v>
      </c>
      <c r="X50" s="231">
        <f t="shared" si="13"/>
        <v>0.1</v>
      </c>
      <c r="Y50" s="70"/>
      <c r="Z50" s="48"/>
    </row>
    <row r="51" spans="4:26" ht="13.15" customHeight="1">
      <c r="I51" s="65"/>
      <c r="J51" s="65"/>
      <c r="P51" s="265" t="str">
        <f>P50</f>
        <v>　給水栓 C</v>
      </c>
      <c r="Q51" s="226"/>
      <c r="R51" s="227">
        <v>25</v>
      </c>
      <c r="S51" s="228">
        <v>2.0977999999999999</v>
      </c>
      <c r="T51" s="228">
        <v>0.2792</v>
      </c>
      <c r="U51" s="229">
        <f>U50</f>
        <v>0.13333333333333333</v>
      </c>
      <c r="V51" s="228">
        <f t="shared" si="12"/>
        <v>-0.87506126339170009</v>
      </c>
      <c r="W51" s="230">
        <f t="shared" si="14"/>
        <v>-1.5565035183431082</v>
      </c>
      <c r="X51" s="231">
        <f t="shared" si="13"/>
        <v>0</v>
      </c>
      <c r="Y51" s="70"/>
      <c r="Z51" s="101"/>
    </row>
    <row r="52" spans="4:26" ht="14.25" thickBot="1">
      <c r="I52" s="65"/>
      <c r="J52" s="65"/>
      <c r="P52" s="266" t="str">
        <f>P30</f>
        <v>　給水栓 B</v>
      </c>
      <c r="Q52" s="220"/>
      <c r="R52" s="221">
        <v>13</v>
      </c>
      <c r="S52" s="222">
        <v>1.8340000000000001</v>
      </c>
      <c r="T52" s="222">
        <v>1.1850000000000001</v>
      </c>
      <c r="U52" s="223">
        <f>T30</f>
        <v>0.33333333333333331</v>
      </c>
      <c r="V52" s="222">
        <f t="shared" si="12"/>
        <v>-0.47712125471966244</v>
      </c>
      <c r="W52" s="224">
        <f t="shared" si="14"/>
        <v>0.30995961884413914</v>
      </c>
      <c r="X52" s="225">
        <f t="shared" si="13"/>
        <v>2</v>
      </c>
      <c r="Y52" s="70"/>
      <c r="Z52" s="101"/>
    </row>
    <row r="53" spans="4:26" ht="14.25" thickBot="1">
      <c r="E53" s="470" t="s">
        <v>110</v>
      </c>
      <c r="F53" s="471"/>
      <c r="G53" s="471"/>
      <c r="H53" s="471"/>
      <c r="I53" s="471"/>
      <c r="J53" s="471"/>
      <c r="K53" s="471"/>
      <c r="L53" s="471"/>
      <c r="M53" s="472"/>
      <c r="P53" s="266" t="str">
        <f>P52</f>
        <v>　給水栓 B</v>
      </c>
      <c r="Q53" s="220"/>
      <c r="R53" s="221">
        <v>20</v>
      </c>
      <c r="S53" s="222">
        <v>2</v>
      </c>
      <c r="T53" s="222">
        <v>0.69899999999999995</v>
      </c>
      <c r="U53" s="223">
        <f>U52</f>
        <v>0.33333333333333331</v>
      </c>
      <c r="V53" s="222">
        <f t="shared" si="12"/>
        <v>-0.47712125471966244</v>
      </c>
      <c r="W53" s="224">
        <f t="shared" si="14"/>
        <v>-0.25524250943932492</v>
      </c>
      <c r="X53" s="225">
        <f t="shared" si="13"/>
        <v>0.6</v>
      </c>
      <c r="Y53" s="70"/>
      <c r="Z53" s="101"/>
    </row>
    <row r="54" spans="4:26">
      <c r="E54" s="124" t="s">
        <v>27</v>
      </c>
      <c r="F54" s="125"/>
      <c r="G54" s="125"/>
      <c r="H54" s="125"/>
      <c r="I54" s="125"/>
      <c r="J54" s="125"/>
      <c r="K54" s="125"/>
      <c r="L54" s="125"/>
      <c r="M54" s="126"/>
      <c r="P54" s="266" t="str">
        <f>P53</f>
        <v>　給水栓 B</v>
      </c>
      <c r="Q54" s="220"/>
      <c r="R54" s="221">
        <v>25</v>
      </c>
      <c r="S54" s="222">
        <v>2.0977999999999999</v>
      </c>
      <c r="T54" s="222">
        <v>0.2792</v>
      </c>
      <c r="U54" s="223">
        <f>U53</f>
        <v>0.33333333333333331</v>
      </c>
      <c r="V54" s="222">
        <f t="shared" si="12"/>
        <v>-0.47712125471966244</v>
      </c>
      <c r="W54" s="224">
        <f t="shared" si="14"/>
        <v>-0.7217049681509079</v>
      </c>
      <c r="X54" s="225">
        <f t="shared" si="13"/>
        <v>0.2</v>
      </c>
      <c r="Y54" s="70"/>
      <c r="Z54" s="101"/>
    </row>
    <row r="55" spans="4:26">
      <c r="E55" s="522" t="s">
        <v>9</v>
      </c>
      <c r="F55" s="73" t="s">
        <v>10</v>
      </c>
      <c r="G55" s="73" t="s">
        <v>4</v>
      </c>
      <c r="H55" s="73" t="s">
        <v>11</v>
      </c>
      <c r="I55" s="73" t="s">
        <v>12</v>
      </c>
      <c r="J55" s="73" t="s">
        <v>13</v>
      </c>
      <c r="K55" s="73" t="s">
        <v>14</v>
      </c>
      <c r="L55" s="73" t="s">
        <v>15</v>
      </c>
      <c r="M55" s="152"/>
      <c r="P55" s="118" t="str">
        <f>P31</f>
        <v>　給水栓 A</v>
      </c>
      <c r="Q55" s="69"/>
      <c r="R55" s="40">
        <v>13</v>
      </c>
      <c r="S55" s="41">
        <v>1.8340000000000001</v>
      </c>
      <c r="T55" s="41">
        <v>1.1850000000000001</v>
      </c>
      <c r="U55" s="99">
        <f>T31</f>
        <v>0</v>
      </c>
      <c r="V55" s="41" t="e">
        <f t="shared" si="12"/>
        <v>#NUM!</v>
      </c>
      <c r="W55" s="42" t="e">
        <f t="shared" si="14"/>
        <v>#NUM!</v>
      </c>
      <c r="X55" s="119" t="str">
        <f t="shared" si="13"/>
        <v/>
      </c>
      <c r="Y55" s="70"/>
      <c r="Z55" s="101"/>
    </row>
    <row r="56" spans="4:26">
      <c r="E56" s="523"/>
      <c r="F56" s="74" t="s">
        <v>24</v>
      </c>
      <c r="G56" s="74" t="s">
        <v>16</v>
      </c>
      <c r="H56" s="74" t="s">
        <v>17</v>
      </c>
      <c r="I56" s="74" t="s">
        <v>18</v>
      </c>
      <c r="J56" s="74" t="s">
        <v>18</v>
      </c>
      <c r="K56" s="74" t="s">
        <v>18</v>
      </c>
      <c r="L56" s="74" t="s">
        <v>18</v>
      </c>
      <c r="M56" s="153"/>
      <c r="P56" s="118" t="str">
        <f>P55</f>
        <v>　給水栓 A</v>
      </c>
      <c r="Q56" s="69"/>
      <c r="R56" s="40">
        <v>20</v>
      </c>
      <c r="S56" s="41">
        <v>2</v>
      </c>
      <c r="T56" s="41">
        <v>0.69899999999999995</v>
      </c>
      <c r="U56" s="99">
        <f>U55</f>
        <v>0</v>
      </c>
      <c r="V56" s="41" t="e">
        <f t="shared" si="12"/>
        <v>#NUM!</v>
      </c>
      <c r="W56" s="42" t="e">
        <f t="shared" si="14"/>
        <v>#NUM!</v>
      </c>
      <c r="X56" s="119" t="str">
        <f t="shared" si="13"/>
        <v/>
      </c>
      <c r="Z56" s="101"/>
    </row>
    <row r="57" spans="4:26">
      <c r="E57" s="154" t="s">
        <v>135</v>
      </c>
      <c r="F57" s="132">
        <f>J25</f>
        <v>5</v>
      </c>
      <c r="G57" s="132">
        <f>I25</f>
        <v>13</v>
      </c>
      <c r="H57" s="132">
        <f t="shared" ref="H57" si="15">IF(F57*G57*I57=0,0,ROUND((0.0126+((0.01739-0.1087*(G57/1000)))/((F57/1000/60)/(PI()*(G57/1000)^2/4))^0.5)*1/(G57/1000)*((F57/1000/60)/(PI()*(G57/1000)^2/4))^2/(2*9.8)/1*1000,0))</f>
        <v>0</v>
      </c>
      <c r="I57" s="134"/>
      <c r="J57" s="133">
        <f>IF(G57=13,U25,IF(G57=20,V25,IF(G57=25,W25)))</f>
        <v>0.2</v>
      </c>
      <c r="K57" s="134"/>
      <c r="L57" s="134">
        <f t="shared" ref="L57:L58" si="16">ROUND(J57+K57,2)</f>
        <v>0.2</v>
      </c>
      <c r="M57" s="155"/>
      <c r="P57" s="118" t="str">
        <f>P56</f>
        <v>　給水栓 A</v>
      </c>
      <c r="Q57" s="69"/>
      <c r="R57" s="40">
        <v>25</v>
      </c>
      <c r="S57" s="41">
        <v>2.0977999999999999</v>
      </c>
      <c r="T57" s="41">
        <v>0.2792</v>
      </c>
      <c r="U57" s="99">
        <f>U56</f>
        <v>0</v>
      </c>
      <c r="V57" s="41" t="e">
        <f t="shared" si="12"/>
        <v>#NUM!</v>
      </c>
      <c r="W57" s="42" t="e">
        <f t="shared" si="14"/>
        <v>#NUM!</v>
      </c>
      <c r="X57" s="119" t="str">
        <f t="shared" si="13"/>
        <v/>
      </c>
      <c r="Z57" s="101"/>
    </row>
    <row r="58" spans="4:26" ht="14.25" thickBot="1">
      <c r="E58" s="156" t="s">
        <v>149</v>
      </c>
      <c r="F58" s="137">
        <f>F57</f>
        <v>5</v>
      </c>
      <c r="G58" s="137">
        <f>G47</f>
        <v>13</v>
      </c>
      <c r="H58" s="137">
        <f>IF(F58*G58*I58=0,0,ROUND((0.0126+((0.01739-0.1087*(G58/1000)))/((F58/1000/60)/(PI()*(G58/1000)^2/4))^0.5)*1/(G58/1000)*((F58/1000/60)/(PI()*(G58/1000)^2/4))^2/(2*9.8)/1*1000,0))</f>
        <v>51</v>
      </c>
      <c r="I58" s="138">
        <f>H47</f>
        <v>3</v>
      </c>
      <c r="J58" s="138">
        <f t="shared" ref="J58" si="17">H58/1000*I58</f>
        <v>0.153</v>
      </c>
      <c r="K58" s="138">
        <f>K47</f>
        <v>0.6</v>
      </c>
      <c r="L58" s="138">
        <f t="shared" si="16"/>
        <v>0.75</v>
      </c>
      <c r="M58" s="157">
        <f>SUM(L57:L58)</f>
        <v>0.95</v>
      </c>
      <c r="P58" s="111" t="s">
        <v>33</v>
      </c>
      <c r="Q58" s="61"/>
      <c r="R58" s="16">
        <v>13</v>
      </c>
      <c r="S58" s="19">
        <v>1.9312</v>
      </c>
      <c r="T58" s="19">
        <v>1.0902000000000001</v>
      </c>
      <c r="U58" s="100">
        <f>T32</f>
        <v>0.81666666666666665</v>
      </c>
      <c r="V58" s="19">
        <f t="shared" si="12"/>
        <v>-8.795517035512998E-2</v>
      </c>
      <c r="W58" s="34">
        <f t="shared" si="14"/>
        <v>0.92034097501017298</v>
      </c>
      <c r="X58" s="147">
        <f t="shared" si="13"/>
        <v>8.3000000000000007</v>
      </c>
      <c r="Z58" s="101"/>
    </row>
    <row r="59" spans="4:26" ht="13.15" customHeight="1" thickTop="1">
      <c r="E59" s="258" t="s">
        <v>134</v>
      </c>
      <c r="F59" s="145">
        <f>J26</f>
        <v>0</v>
      </c>
      <c r="G59" s="145">
        <f>I26</f>
        <v>13</v>
      </c>
      <c r="H59" s="145">
        <f>IF(F59*G59*I59=0,0,ROUND((0.0126+((0.01739-0.1087*(G59/1000)))/((F59/1000/60)/(PI()*(G59/1000)^2/4))^0.5)*1/(G59/1000)*((F59/1000/60)/(PI()*(G59/1000)^2/4))^2/(2*9.8)/1*1000,0))</f>
        <v>0</v>
      </c>
      <c r="I59" s="146"/>
      <c r="J59" s="133" t="str">
        <f>IF(G59=13,U26,IF(G59=20,V26,IF(G59=25,W26)))</f>
        <v/>
      </c>
      <c r="K59" s="146">
        <f>K48</f>
        <v>0</v>
      </c>
      <c r="L59" s="146" t="e">
        <f t="shared" ref="L59:L61" si="18">ROUND(J59+K59,2)</f>
        <v>#VALUE!</v>
      </c>
      <c r="M59" s="259"/>
      <c r="P59" s="111" t="s">
        <v>33</v>
      </c>
      <c r="Q59" s="61"/>
      <c r="R59" s="16">
        <v>20</v>
      </c>
      <c r="S59" s="19">
        <v>1.9514</v>
      </c>
      <c r="T59" s="19">
        <v>0.5887</v>
      </c>
      <c r="U59" s="100">
        <f t="shared" ref="U59:U67" si="19">U58</f>
        <v>0.81666666666666665</v>
      </c>
      <c r="V59" s="19">
        <f t="shared" si="12"/>
        <v>-8.795517035512998E-2</v>
      </c>
      <c r="W59" s="34">
        <f t="shared" si="14"/>
        <v>0.41706428056899936</v>
      </c>
      <c r="X59" s="147">
        <f t="shared" si="13"/>
        <v>2.6</v>
      </c>
      <c r="Z59" s="101"/>
    </row>
    <row r="60" spans="4:26">
      <c r="E60" s="158" t="s">
        <v>148</v>
      </c>
      <c r="F60" s="139">
        <f>F59</f>
        <v>0</v>
      </c>
      <c r="G60" s="139">
        <f>G46</f>
        <v>0</v>
      </c>
      <c r="H60" s="132">
        <f>IF(F60*G60*I60=0,0,ROUND((0.0126+((0.01739-0.1087*(G60/1000)))/((F60/1000/60)/(PI()*(G60/1000)^2/4))^0.5)*1/(G60/1000)*((F60/1000/60)/(PI()*(G60/1000)^2/4))^2/(2*9.8)/1*1000,0))</f>
        <v>0</v>
      </c>
      <c r="I60" s="134">
        <f>H49</f>
        <v>0</v>
      </c>
      <c r="J60" s="134">
        <f t="shared" ref="J60" si="20">H60/1000*I60</f>
        <v>0</v>
      </c>
      <c r="K60" s="134">
        <f>K46</f>
        <v>0</v>
      </c>
      <c r="L60" s="134">
        <f t="shared" ref="L60" si="21">ROUND(J60+K60,2)</f>
        <v>0</v>
      </c>
      <c r="M60" s="159"/>
      <c r="P60" s="111" t="s">
        <v>33</v>
      </c>
      <c r="Q60" s="61"/>
      <c r="R60" s="16">
        <v>25</v>
      </c>
      <c r="S60" s="19">
        <v>1.9554</v>
      </c>
      <c r="T60" s="19">
        <v>0.47710000000000002</v>
      </c>
      <c r="U60" s="100">
        <f t="shared" si="19"/>
        <v>0.81666666666666665</v>
      </c>
      <c r="V60" s="19">
        <f t="shared" si="12"/>
        <v>-8.795517035512998E-2</v>
      </c>
      <c r="W60" s="34">
        <f t="shared" si="14"/>
        <v>0.30511245988757885</v>
      </c>
      <c r="X60" s="147">
        <f t="shared" si="13"/>
        <v>2</v>
      </c>
      <c r="Y60" s="48"/>
      <c r="Z60" s="48"/>
    </row>
    <row r="61" spans="4:26" ht="14.25" thickBot="1">
      <c r="E61" s="156" t="s">
        <v>106</v>
      </c>
      <c r="F61" s="137">
        <f>F58+F59</f>
        <v>5</v>
      </c>
      <c r="G61" s="137">
        <f>G40</f>
        <v>25</v>
      </c>
      <c r="H61" s="254">
        <f>IF(F61*G61*I61=0,0,ROUND((0.0126+((0.01739-0.1087*(G61/1000)))/((F61/1000/60)/(PI()*(G61/1000)^2/4))^0.5)*1/(G61/1000)*((F61/1000/60)/(PI()*(G61/1000)^2/4))^2/(2*9.8)/1*1000,0))</f>
        <v>3</v>
      </c>
      <c r="I61" s="255">
        <f>H40</f>
        <v>5</v>
      </c>
      <c r="J61" s="255">
        <f t="shared" ref="J61" si="22">H61/1000*I61</f>
        <v>1.4999999999999999E-2</v>
      </c>
      <c r="K61" s="255">
        <f>K40</f>
        <v>2.8</v>
      </c>
      <c r="L61" s="255">
        <f t="shared" si="18"/>
        <v>2.82</v>
      </c>
      <c r="M61" s="157" t="e">
        <f>SUM(L59:L61)</f>
        <v>#VALUE!</v>
      </c>
      <c r="P61" s="111" t="s">
        <v>33</v>
      </c>
      <c r="Q61" s="61"/>
      <c r="R61" s="16">
        <v>40</v>
      </c>
      <c r="S61" s="19">
        <v>1.9036999999999999</v>
      </c>
      <c r="T61" s="19">
        <v>-0.30099999999999999</v>
      </c>
      <c r="U61" s="100">
        <f t="shared" si="19"/>
        <v>0.81666666666666665</v>
      </c>
      <c r="V61" s="19">
        <f t="shared" si="12"/>
        <v>-8.795517035512998E-2</v>
      </c>
      <c r="W61" s="34">
        <f t="shared" si="14"/>
        <v>-0.46844025780506093</v>
      </c>
      <c r="X61" s="147">
        <f t="shared" si="13"/>
        <v>0.3</v>
      </c>
      <c r="Y61" s="48"/>
      <c r="Z61" s="48"/>
    </row>
    <row r="62" spans="4:26" ht="14.25" thickTop="1">
      <c r="E62" s="158" t="s">
        <v>45</v>
      </c>
      <c r="F62" s="139">
        <f>J27</f>
        <v>8</v>
      </c>
      <c r="G62" s="139">
        <f>I27</f>
        <v>13</v>
      </c>
      <c r="H62" s="139">
        <f t="shared" ref="H62" si="23">IF(F62*G62*I62=0,0,ROUND((0.0126+((0.01739-0.1087*(G62/1000)))/((F62/1000/60)/(PI()*(G62/1000)^2/4))^0.5)*1/(G62/1000)*((F62/1000/60)/(PI()*(G62/1000)^2/4))^2/(2*9.8)/1*1000,0))</f>
        <v>0</v>
      </c>
      <c r="I62" s="141"/>
      <c r="J62" s="140">
        <f>IF(G62=13,U27,IF(G62=20,V27,IF(G62=25,W27)))</f>
        <v>0.4</v>
      </c>
      <c r="K62" s="141"/>
      <c r="L62" s="141">
        <f t="shared" ref="L62:L81" si="24">ROUND(J62+K62,2)</f>
        <v>0.4</v>
      </c>
      <c r="M62" s="159"/>
      <c r="P62" s="110" t="s">
        <v>52</v>
      </c>
      <c r="Q62" s="61"/>
      <c r="R62" s="16">
        <v>13</v>
      </c>
      <c r="S62" s="19">
        <f t="shared" ref="S62:T62" si="25">S43</f>
        <v>1.8340000000000001</v>
      </c>
      <c r="T62" s="19">
        <f t="shared" si="25"/>
        <v>1.1850000000000001</v>
      </c>
      <c r="U62" s="100">
        <f>U61</f>
        <v>0.81666666666666665</v>
      </c>
      <c r="V62" s="19">
        <f t="shared" si="12"/>
        <v>-8.795517035512998E-2</v>
      </c>
      <c r="W62" s="34">
        <f t="shared" si="14"/>
        <v>1.0236902175686917</v>
      </c>
      <c r="X62" s="147">
        <f t="shared" si="13"/>
        <v>10.6</v>
      </c>
      <c r="Y62" s="48"/>
      <c r="Z62" s="48"/>
    </row>
    <row r="63" spans="4:26">
      <c r="E63" s="154" t="s">
        <v>151</v>
      </c>
      <c r="F63" s="132">
        <f>F62</f>
        <v>8</v>
      </c>
      <c r="G63" s="132">
        <f>G45</f>
        <v>13</v>
      </c>
      <c r="H63" s="132">
        <f>IF(F63*G63*I63=0,0,ROUND((0.0126+((0.01739-0.1087*(G63/1000)))/((F63/1000/60)/(PI()*(G63/1000)^2/4))^0.5)*1/(G63/1000)*((F63/1000/60)/(PI()*(G63/1000)^2/4))^2/(2*9.8)/1*1000,0))</f>
        <v>113</v>
      </c>
      <c r="I63" s="134">
        <f>H45</f>
        <v>2</v>
      </c>
      <c r="J63" s="134">
        <f t="shared" ref="J63:J64" si="26">H63/1000*I63</f>
        <v>0.22600000000000001</v>
      </c>
      <c r="K63" s="134">
        <f>K45</f>
        <v>0.6</v>
      </c>
      <c r="L63" s="134">
        <f t="shared" si="24"/>
        <v>0.83</v>
      </c>
      <c r="M63" s="257"/>
      <c r="P63" s="110" t="s">
        <v>52</v>
      </c>
      <c r="Q63" s="61"/>
      <c r="R63" s="16">
        <v>20</v>
      </c>
      <c r="S63" s="19">
        <f t="shared" ref="S63:T63" si="27">S44</f>
        <v>2</v>
      </c>
      <c r="T63" s="19">
        <f t="shared" si="27"/>
        <v>0.69899999999999995</v>
      </c>
      <c r="U63" s="100">
        <f t="shared" si="19"/>
        <v>0.81666666666666665</v>
      </c>
      <c r="V63" s="19">
        <f t="shared" si="12"/>
        <v>-8.795517035512998E-2</v>
      </c>
      <c r="W63" s="34">
        <f t="shared" si="14"/>
        <v>0.52308965928974005</v>
      </c>
      <c r="X63" s="147">
        <f t="shared" si="13"/>
        <v>3.3</v>
      </c>
      <c r="Y63" s="48"/>
      <c r="Z63" s="48"/>
    </row>
    <row r="64" spans="4:26" ht="14.25" thickBot="1">
      <c r="E64" s="253" t="s">
        <v>152</v>
      </c>
      <c r="F64" s="254">
        <f>F61+F62</f>
        <v>13</v>
      </c>
      <c r="G64" s="254">
        <f>G39</f>
        <v>25</v>
      </c>
      <c r="H64" s="254">
        <f>IF(F64*G64*I64=0,0,ROUND((0.0126+((0.01739-0.1087*(G64/1000)))/((F64/1000/60)/(PI()*(G64/1000)^2/4))^0.5)*1/(G64/1000)*((F64/1000/60)/(PI()*(G64/1000)^2/4))^2/(2*9.8)/1*1000,0))</f>
        <v>14</v>
      </c>
      <c r="I64" s="255">
        <f>H39</f>
        <v>3</v>
      </c>
      <c r="J64" s="255">
        <f t="shared" si="26"/>
        <v>4.2000000000000003E-2</v>
      </c>
      <c r="K64" s="255">
        <f>K39</f>
        <v>0</v>
      </c>
      <c r="L64" s="255">
        <f t="shared" si="24"/>
        <v>0.04</v>
      </c>
      <c r="M64" s="256">
        <f>SUM(L62:L64)</f>
        <v>1.27</v>
      </c>
      <c r="P64" s="110" t="s">
        <v>52</v>
      </c>
      <c r="Q64" s="61"/>
      <c r="R64" s="16">
        <v>25</v>
      </c>
      <c r="S64" s="19">
        <f t="shared" ref="S64:T64" si="28">S45</f>
        <v>2.0977999999999999</v>
      </c>
      <c r="T64" s="19">
        <f t="shared" si="28"/>
        <v>0.2792</v>
      </c>
      <c r="U64" s="100">
        <f t="shared" si="19"/>
        <v>0.81666666666666665</v>
      </c>
      <c r="V64" s="19">
        <f t="shared" si="12"/>
        <v>-8.795517035512998E-2</v>
      </c>
      <c r="W64" s="34">
        <f t="shared" si="14"/>
        <v>9.4687643629008333E-2</v>
      </c>
      <c r="X64" s="147">
        <f t="shared" si="13"/>
        <v>1.2</v>
      </c>
      <c r="Y64" s="48"/>
      <c r="Z64" s="48"/>
    </row>
    <row r="65" spans="5:26" ht="14.25" thickTop="1">
      <c r="E65" s="158" t="s">
        <v>43</v>
      </c>
      <c r="F65" s="139">
        <f>J28</f>
        <v>8</v>
      </c>
      <c r="G65" s="139">
        <f>I28</f>
        <v>13</v>
      </c>
      <c r="H65" s="139">
        <f t="shared" ref="H65" si="29">IF(F65*G65*I65=0,0,ROUND((0.0126+((0.01739-0.1087*(G65/1000)))/((F65/1000/60)/(PI()*(G65/1000)^2/4))^0.5)*1/(G65/1000)*((F65/1000/60)/(PI()*(G65/1000)^2/4))^2/(2*9.8)/1*1000,0))</f>
        <v>0</v>
      </c>
      <c r="I65" s="141"/>
      <c r="J65" s="133">
        <f>IF(G65=13,U28,IF(G65=20,V28,IF(G65=25,W28)))</f>
        <v>0.1</v>
      </c>
      <c r="K65" s="141"/>
      <c r="L65" s="141">
        <f t="shared" si="24"/>
        <v>0.1</v>
      </c>
      <c r="M65" s="159"/>
      <c r="P65" s="110" t="s">
        <v>53</v>
      </c>
      <c r="Q65" s="72"/>
      <c r="R65" s="16">
        <v>13</v>
      </c>
      <c r="S65" s="19">
        <v>1.8380000000000001</v>
      </c>
      <c r="T65" s="19">
        <v>1.0629</v>
      </c>
      <c r="U65" s="100">
        <f t="shared" si="19"/>
        <v>0.81666666666666665</v>
      </c>
      <c r="V65" s="19">
        <f t="shared" si="12"/>
        <v>-8.795517035512998E-2</v>
      </c>
      <c r="W65" s="34">
        <f t="shared" si="14"/>
        <v>0.90123839688727103</v>
      </c>
      <c r="X65" s="147">
        <f t="shared" si="13"/>
        <v>8</v>
      </c>
    </row>
    <row r="66" spans="5:26">
      <c r="E66" s="160" t="s">
        <v>89</v>
      </c>
      <c r="F66" s="135">
        <f>F65</f>
        <v>8</v>
      </c>
      <c r="G66" s="135">
        <f>G44</f>
        <v>13</v>
      </c>
      <c r="H66" s="132">
        <f>IF(F66*G66*I66=0,0,ROUND((0.0126+((0.01739-0.1087*(G66/1000)))/((F66/1000/60)/(PI()*(G66/1000)^2/4))^0.5)*1/(G66/1000)*((F66/1000/60)/(PI()*(G66/1000)^2/4))^2/(2*9.8)/1*1000,0))</f>
        <v>113</v>
      </c>
      <c r="I66" s="134">
        <f>H44</f>
        <v>2</v>
      </c>
      <c r="J66" s="134">
        <f t="shared" ref="J66:J67" si="30">H66/1000*I66</f>
        <v>0.22600000000000001</v>
      </c>
      <c r="K66" s="134">
        <f>K44</f>
        <v>0.6</v>
      </c>
      <c r="L66" s="134">
        <f t="shared" ref="L66:L67" si="31">ROUND(J66+K66,2)</f>
        <v>0.83</v>
      </c>
      <c r="M66" s="257"/>
      <c r="P66" s="110" t="s">
        <v>53</v>
      </c>
      <c r="Q66" s="72"/>
      <c r="R66" s="16">
        <v>20</v>
      </c>
      <c r="S66" s="19">
        <v>1.9379</v>
      </c>
      <c r="T66" s="19">
        <v>0.2296</v>
      </c>
      <c r="U66" s="100">
        <f t="shared" si="19"/>
        <v>0.81666666666666665</v>
      </c>
      <c r="V66" s="19">
        <f t="shared" si="12"/>
        <v>-8.795517035512998E-2</v>
      </c>
      <c r="W66" s="34">
        <f t="shared" si="14"/>
        <v>5.9151675368793621E-2</v>
      </c>
      <c r="X66" s="147">
        <f t="shared" si="13"/>
        <v>1.1000000000000001</v>
      </c>
    </row>
    <row r="67" spans="5:26" ht="14.25" thickBot="1">
      <c r="E67" s="156" t="s">
        <v>90</v>
      </c>
      <c r="F67" s="137">
        <f>F64+F65</f>
        <v>21</v>
      </c>
      <c r="G67" s="137">
        <f>G38</f>
        <v>25</v>
      </c>
      <c r="H67" s="254">
        <f>IF(F67*G67*I67=0,0,ROUND((0.0126+((0.01739-0.1087*(G67/1000)))/((F67/1000/60)/(PI()*(G67/1000)^2/4))^0.5)*1/(G67/1000)*((F67/1000/60)/(PI()*(G67/1000)^2/4))^2/(2*9.8)/1*1000,0))</f>
        <v>31</v>
      </c>
      <c r="I67" s="255">
        <f>H38</f>
        <v>10</v>
      </c>
      <c r="J67" s="255">
        <f t="shared" si="30"/>
        <v>0.31</v>
      </c>
      <c r="K67" s="255">
        <f>K38</f>
        <v>3.6</v>
      </c>
      <c r="L67" s="255">
        <f t="shared" si="31"/>
        <v>3.91</v>
      </c>
      <c r="M67" s="256">
        <f>SUM(L65:L67)</f>
        <v>4.84</v>
      </c>
      <c r="P67" s="251" t="s">
        <v>53</v>
      </c>
      <c r="Q67" s="252"/>
      <c r="R67" s="120">
        <v>25</v>
      </c>
      <c r="S67" s="121">
        <v>1.9125000000000001</v>
      </c>
      <c r="T67" s="121">
        <v>-0.15490000000000001</v>
      </c>
      <c r="U67" s="122">
        <f t="shared" si="19"/>
        <v>0.81666666666666665</v>
      </c>
      <c r="V67" s="121">
        <f t="shared" si="12"/>
        <v>-8.795517035512998E-2</v>
      </c>
      <c r="W67" s="123">
        <f t="shared" si="14"/>
        <v>-0.32311426330418613</v>
      </c>
      <c r="X67" s="148">
        <f t="shared" si="13"/>
        <v>0.5</v>
      </c>
    </row>
    <row r="68" spans="5:26" ht="14.25" thickTop="1">
      <c r="E68" s="154" t="s">
        <v>42</v>
      </c>
      <c r="F68" s="139">
        <f>J29</f>
        <v>8</v>
      </c>
      <c r="G68" s="139">
        <f>I29</f>
        <v>13</v>
      </c>
      <c r="H68" s="139">
        <f t="shared" ref="H68:H77" si="32">IF(F68*G68*I68=0,0,ROUND((0.0126+((0.01739-0.1087*(G68/1000)))/((F68/1000/60)/(PI()*(G68/1000)^2/4))^0.5)*1/(G68/1000)*((F68/1000/60)/(PI()*(G68/1000)^2/4))^2/(2*9.8)/1*1000,0))</f>
        <v>0</v>
      </c>
      <c r="I68" s="141"/>
      <c r="J68" s="133">
        <f>IF(G68=13,U29,IF(G68=20,V29,IF(G68=25,W29)))</f>
        <v>0.4</v>
      </c>
      <c r="K68" s="141"/>
      <c r="L68" s="141">
        <f t="shared" si="24"/>
        <v>0.4</v>
      </c>
      <c r="M68" s="159"/>
      <c r="P68" s="18"/>
      <c r="Q68" s="246"/>
      <c r="R68" s="247"/>
      <c r="S68" s="248"/>
      <c r="T68" s="248"/>
      <c r="U68" s="249"/>
      <c r="V68" s="248"/>
      <c r="W68" s="248"/>
      <c r="X68" s="250"/>
    </row>
    <row r="69" spans="5:26">
      <c r="E69" s="154" t="s">
        <v>102</v>
      </c>
      <c r="F69" s="132">
        <f>F68</f>
        <v>8</v>
      </c>
      <c r="G69" s="132">
        <f>G43</f>
        <v>13</v>
      </c>
      <c r="H69" s="132">
        <f t="shared" si="32"/>
        <v>113</v>
      </c>
      <c r="I69" s="134">
        <f>H43</f>
        <v>3</v>
      </c>
      <c r="J69" s="134">
        <f t="shared" ref="J69:J70" si="33">H69/1000*I69</f>
        <v>0.33900000000000002</v>
      </c>
      <c r="K69" s="134">
        <f>K43</f>
        <v>0.6</v>
      </c>
      <c r="L69" s="134">
        <f t="shared" si="24"/>
        <v>0.94</v>
      </c>
      <c r="M69" s="155"/>
      <c r="P69" s="18"/>
    </row>
    <row r="70" spans="5:26" ht="14.25" thickBot="1">
      <c r="E70" s="156" t="s">
        <v>103</v>
      </c>
      <c r="F70" s="137">
        <f>F67+F68</f>
        <v>29</v>
      </c>
      <c r="G70" s="137">
        <f>G37</f>
        <v>25</v>
      </c>
      <c r="H70" s="137">
        <f t="shared" si="32"/>
        <v>54</v>
      </c>
      <c r="I70" s="138">
        <f>H37</f>
        <v>5</v>
      </c>
      <c r="J70" s="138">
        <f t="shared" si="33"/>
        <v>0.27</v>
      </c>
      <c r="K70" s="138">
        <f>K37</f>
        <v>0</v>
      </c>
      <c r="L70" s="138">
        <f t="shared" si="24"/>
        <v>0.27</v>
      </c>
      <c r="M70" s="162">
        <f>SUM(L68:L70)</f>
        <v>1.6099999999999999</v>
      </c>
      <c r="P70" s="18"/>
      <c r="Y70" s="17"/>
    </row>
    <row r="71" spans="5:26" ht="14.25" thickTop="1">
      <c r="E71" s="163" t="s">
        <v>41</v>
      </c>
      <c r="F71" s="143">
        <f>J30</f>
        <v>20</v>
      </c>
      <c r="G71" s="143">
        <f>I30</f>
        <v>20</v>
      </c>
      <c r="H71" s="139">
        <f t="shared" si="32"/>
        <v>0</v>
      </c>
      <c r="I71" s="141"/>
      <c r="J71" s="133">
        <f>IF(G71=13,U30,IF(G71=20,V30,IF(G71=25,W30)))</f>
        <v>0.6</v>
      </c>
      <c r="K71" s="141"/>
      <c r="L71" s="141">
        <f t="shared" si="24"/>
        <v>0.6</v>
      </c>
      <c r="M71" s="164"/>
      <c r="P71" s="18"/>
      <c r="Y71" s="17"/>
    </row>
    <row r="72" spans="5:26">
      <c r="E72" s="154" t="s">
        <v>98</v>
      </c>
      <c r="F72" s="132">
        <f>F71</f>
        <v>20</v>
      </c>
      <c r="G72" s="132">
        <f>G50</f>
        <v>25</v>
      </c>
      <c r="H72" s="132">
        <f t="shared" si="32"/>
        <v>29</v>
      </c>
      <c r="I72" s="134">
        <f>H42</f>
        <v>3</v>
      </c>
      <c r="J72" s="134">
        <f t="shared" ref="J72:J73" si="34">H72/1000*I72</f>
        <v>8.7000000000000008E-2</v>
      </c>
      <c r="K72" s="134">
        <f>K42</f>
        <v>0.6</v>
      </c>
      <c r="L72" s="134">
        <f t="shared" si="24"/>
        <v>0.69</v>
      </c>
      <c r="M72" s="155"/>
      <c r="P72" s="18"/>
    </row>
    <row r="73" spans="5:26" ht="14.25" thickBot="1">
      <c r="E73" s="156" t="s">
        <v>104</v>
      </c>
      <c r="F73" s="137">
        <f>F70+F71</f>
        <v>49</v>
      </c>
      <c r="G73" s="137">
        <f>G36</f>
        <v>25</v>
      </c>
      <c r="H73" s="137">
        <f t="shared" si="32"/>
        <v>135</v>
      </c>
      <c r="I73" s="138">
        <f>H36</f>
        <v>5</v>
      </c>
      <c r="J73" s="138">
        <f t="shared" si="34"/>
        <v>0.67500000000000004</v>
      </c>
      <c r="K73" s="138">
        <f>K36</f>
        <v>0</v>
      </c>
      <c r="L73" s="138">
        <f t="shared" si="24"/>
        <v>0.68</v>
      </c>
      <c r="M73" s="162">
        <f>SUM(L71:L73)</f>
        <v>1.9700000000000002</v>
      </c>
      <c r="Y73" s="70"/>
      <c r="Z73" s="70"/>
    </row>
    <row r="74" spans="5:26" ht="13.15" customHeight="1" thickTop="1">
      <c r="E74" s="158" t="s">
        <v>39</v>
      </c>
      <c r="F74" s="139">
        <f>J31</f>
        <v>0</v>
      </c>
      <c r="G74" s="139">
        <f>I31</f>
        <v>13</v>
      </c>
      <c r="H74" s="139">
        <f t="shared" si="32"/>
        <v>0</v>
      </c>
      <c r="I74" s="141"/>
      <c r="J74" s="140" t="str">
        <f>IF(G74=13,U31,IF(G74=20,V31,IF(G74=25,W31)))</f>
        <v/>
      </c>
      <c r="K74" s="141"/>
      <c r="L74" s="141" t="e">
        <f>ROUND(J74+K74,2)</f>
        <v>#VALUE!</v>
      </c>
      <c r="M74" s="164"/>
      <c r="Y74" s="70"/>
      <c r="Z74" s="70"/>
    </row>
    <row r="75" spans="5:26" ht="14.25" thickBot="1">
      <c r="E75" s="156" t="s">
        <v>56</v>
      </c>
      <c r="F75" s="137">
        <f>F74</f>
        <v>0</v>
      </c>
      <c r="G75" s="137">
        <f>G41</f>
        <v>0</v>
      </c>
      <c r="H75" s="137">
        <f t="shared" si="32"/>
        <v>0</v>
      </c>
      <c r="I75" s="138">
        <f>H41</f>
        <v>0</v>
      </c>
      <c r="J75" s="138">
        <f t="shared" ref="J75:J77" si="35">H75/1000*I75</f>
        <v>0</v>
      </c>
      <c r="K75" s="138">
        <f>K41</f>
        <v>0</v>
      </c>
      <c r="L75" s="138">
        <f t="shared" si="24"/>
        <v>0</v>
      </c>
      <c r="M75" s="157" t="e">
        <f>SUM(L74:L75)</f>
        <v>#VALUE!</v>
      </c>
      <c r="Y75" s="70"/>
      <c r="Z75" s="70"/>
    </row>
    <row r="76" spans="5:26" ht="14.25" thickTop="1">
      <c r="E76" s="158" t="s">
        <v>153</v>
      </c>
      <c r="F76" s="145">
        <f>F74+F73</f>
        <v>49</v>
      </c>
      <c r="G76" s="145">
        <f>G35</f>
        <v>25</v>
      </c>
      <c r="H76" s="145">
        <f t="shared" si="32"/>
        <v>135</v>
      </c>
      <c r="I76" s="146">
        <f>H35</f>
        <v>25</v>
      </c>
      <c r="J76" s="146">
        <f t="shared" si="35"/>
        <v>3.375</v>
      </c>
      <c r="K76" s="146">
        <f>K35</f>
        <v>0</v>
      </c>
      <c r="L76" s="146">
        <f t="shared" si="24"/>
        <v>3.38</v>
      </c>
      <c r="M76" s="165"/>
      <c r="Y76" s="70"/>
      <c r="Z76" s="70"/>
    </row>
    <row r="77" spans="5:26" ht="14.25" thickBot="1">
      <c r="E77" s="156" t="s">
        <v>154</v>
      </c>
      <c r="F77" s="137">
        <f>F76</f>
        <v>49</v>
      </c>
      <c r="G77" s="137">
        <f>G34</f>
        <v>25</v>
      </c>
      <c r="H77" s="137">
        <f t="shared" si="32"/>
        <v>135</v>
      </c>
      <c r="I77" s="138">
        <f>H34</f>
        <v>12</v>
      </c>
      <c r="J77" s="138">
        <f t="shared" si="35"/>
        <v>1.62</v>
      </c>
      <c r="K77" s="138">
        <f>K34</f>
        <v>1.1000000000000001</v>
      </c>
      <c r="L77" s="138">
        <f t="shared" si="24"/>
        <v>2.72</v>
      </c>
      <c r="M77" s="157">
        <f>SUM(L76:L77)</f>
        <v>6.1</v>
      </c>
      <c r="Y77" s="70"/>
      <c r="Z77" s="70"/>
    </row>
    <row r="78" spans="5:26" ht="14.25" thickTop="1">
      <c r="E78" s="124" t="s">
        <v>34</v>
      </c>
      <c r="F78" s="169"/>
      <c r="G78" s="169"/>
      <c r="H78" s="169"/>
      <c r="I78" s="170"/>
      <c r="J78" s="171"/>
      <c r="K78" s="170"/>
      <c r="L78" s="172">
        <f t="shared" si="24"/>
        <v>0</v>
      </c>
      <c r="M78" s="173"/>
      <c r="Y78" s="70"/>
      <c r="Z78" s="70"/>
    </row>
    <row r="79" spans="5:26">
      <c r="E79" s="154" t="s">
        <v>33</v>
      </c>
      <c r="F79" s="132">
        <f>F77</f>
        <v>49</v>
      </c>
      <c r="G79" s="132">
        <f>G48</f>
        <v>25</v>
      </c>
      <c r="H79" s="132">
        <f>IF(F79*G79*I79=0,0,ROUND((0.0126+((0.01739-0.1087*(G79/1000)))/((F79/1000/60)/(PI()*(G79/1000)^2/4))^0.5)*1/(G79/1000)*((F79/1000/60)/(PI()*(G79/1000)^2/4))^2/(2*9.8)/1*1000,0))</f>
        <v>0</v>
      </c>
      <c r="I79" s="142"/>
      <c r="J79" s="140">
        <f>IF(G79=13,U32,IF(G79=20,V32,IF(G79=25,W32)))</f>
        <v>2</v>
      </c>
      <c r="K79" s="134"/>
      <c r="L79" s="134">
        <f t="shared" si="24"/>
        <v>2</v>
      </c>
      <c r="M79" s="155"/>
      <c r="Y79" s="70"/>
      <c r="Z79" s="70"/>
    </row>
    <row r="80" spans="5:26">
      <c r="E80" s="154" t="s">
        <v>28</v>
      </c>
      <c r="F80" s="132">
        <f>F79</f>
        <v>49</v>
      </c>
      <c r="G80" s="132">
        <f>G49</f>
        <v>25</v>
      </c>
      <c r="H80" s="132">
        <f>IF(F80*G80*I80=0,0,ROUND((0.0126+((0.01739-0.1087*(G80/1000)))/((F80/1000/60)/(PI()*(G80/1000)^2/4))^0.5)*1/(G80/1000)*((F80/1000/60)/(PI()*(G80/1000)^2/4))^2/(2*9.8)/1*1000,0))</f>
        <v>0</v>
      </c>
      <c r="I80" s="142"/>
      <c r="J80" s="140">
        <f>IF(G80=13,U33,IF(G80=20,V33,IF(G80=25,W33)))</f>
        <v>1.2</v>
      </c>
      <c r="K80" s="134"/>
      <c r="L80" s="134">
        <f t="shared" si="24"/>
        <v>1.2</v>
      </c>
      <c r="M80" s="155"/>
      <c r="Y80" s="70"/>
      <c r="Z80" s="70"/>
    </row>
    <row r="81" spans="5:26" ht="14.25" thickBot="1">
      <c r="E81" s="156" t="s">
        <v>54</v>
      </c>
      <c r="F81" s="137">
        <f>F80</f>
        <v>49</v>
      </c>
      <c r="G81" s="137">
        <f>G50</f>
        <v>25</v>
      </c>
      <c r="H81" s="137">
        <f>IF(F81*G81*I81=0,0,ROUND((0.0126+((0.01739-0.1087*(G81/1000)))/((F81/1000/60)/(PI()*(G81/1000)^2/4))^0.5)*1/(G81/1000)*((F81/1000/60)/(PI()*(G81/1000)^2/4))^2/(2*9.8)/1*1000,0))</f>
        <v>0</v>
      </c>
      <c r="I81" s="138"/>
      <c r="J81" s="144">
        <f>IF(G81=13,U34,IF(G81=20,V34,IF(G81=25,W34)))</f>
        <v>0.5</v>
      </c>
      <c r="K81" s="138"/>
      <c r="L81" s="138">
        <f t="shared" si="24"/>
        <v>0.5</v>
      </c>
      <c r="M81" s="162">
        <f>SUM(L79:L81)</f>
        <v>3.7</v>
      </c>
      <c r="Y81" s="70"/>
      <c r="Z81" s="70"/>
    </row>
    <row r="82" spans="5:26" ht="14.25" thickTop="1">
      <c r="Y82" s="70"/>
      <c r="Z82" s="70"/>
    </row>
    <row r="83" spans="5:26">
      <c r="Y83" s="70"/>
      <c r="Z83" s="70"/>
    </row>
    <row r="84" spans="5:26">
      <c r="Y84" s="70"/>
      <c r="Z84" s="70"/>
    </row>
    <row r="85" spans="5:26">
      <c r="Y85" s="70"/>
      <c r="Z85" s="70"/>
    </row>
    <row r="86" spans="5:26">
      <c r="Y86" s="70"/>
      <c r="Z86" s="70"/>
    </row>
    <row r="87" spans="5:26">
      <c r="Y87" s="70"/>
      <c r="Z87" s="70"/>
    </row>
    <row r="88" spans="5:26">
      <c r="Y88" s="70"/>
      <c r="Z88" s="70"/>
    </row>
    <row r="89" spans="5:26">
      <c r="Y89" s="70"/>
      <c r="Z89" s="70"/>
    </row>
    <row r="90" spans="5:26">
      <c r="Y90" s="70"/>
      <c r="Z90" s="70"/>
    </row>
    <row r="91" spans="5:26">
      <c r="Y91" s="70"/>
      <c r="Z91" s="70"/>
    </row>
    <row r="92" spans="5:26">
      <c r="Y92" s="70"/>
      <c r="Z92" s="70"/>
    </row>
    <row r="93" spans="5:26">
      <c r="Y93" s="70"/>
      <c r="Z93" s="70"/>
    </row>
    <row r="94" spans="5:26">
      <c r="Y94" s="70"/>
      <c r="Z94" s="70"/>
    </row>
  </sheetData>
  <mergeCells count="52">
    <mergeCell ref="C1:X1"/>
    <mergeCell ref="M12:M13"/>
    <mergeCell ref="D19:I19"/>
    <mergeCell ref="D20:D22"/>
    <mergeCell ref="E20:E22"/>
    <mergeCell ref="F20:G20"/>
    <mergeCell ref="P20:X20"/>
    <mergeCell ref="F21:G21"/>
    <mergeCell ref="F22:G22"/>
    <mergeCell ref="U22:U24"/>
    <mergeCell ref="V22:V24"/>
    <mergeCell ref="W22:W24"/>
    <mergeCell ref="X22:X24"/>
    <mergeCell ref="F23:F24"/>
    <mergeCell ref="G23:H24"/>
    <mergeCell ref="K23:L24"/>
    <mergeCell ref="N23:N24"/>
    <mergeCell ref="P23:P24"/>
    <mergeCell ref="S23:S24"/>
    <mergeCell ref="T23:T24"/>
    <mergeCell ref="G25:H25"/>
    <mergeCell ref="K25:L25"/>
    <mergeCell ref="P25:R25"/>
    <mergeCell ref="R22:R23"/>
    <mergeCell ref="P26:R26"/>
    <mergeCell ref="G27:H27"/>
    <mergeCell ref="K27:L27"/>
    <mergeCell ref="P27:R27"/>
    <mergeCell ref="G28:H28"/>
    <mergeCell ref="K28:L28"/>
    <mergeCell ref="P28:R28"/>
    <mergeCell ref="N29:N31"/>
    <mergeCell ref="P31:R31"/>
    <mergeCell ref="G29:H29"/>
    <mergeCell ref="K29:L29"/>
    <mergeCell ref="P29:R29"/>
    <mergeCell ref="G30:H30"/>
    <mergeCell ref="K30:L30"/>
    <mergeCell ref="P30:R30"/>
    <mergeCell ref="E55:E56"/>
    <mergeCell ref="E10:K10"/>
    <mergeCell ref="D23:D32"/>
    <mergeCell ref="E23:E32"/>
    <mergeCell ref="D33:D50"/>
    <mergeCell ref="E33:E50"/>
    <mergeCell ref="I33:J33"/>
    <mergeCell ref="E53:M53"/>
    <mergeCell ref="G31:H31"/>
    <mergeCell ref="K31:L31"/>
    <mergeCell ref="G26:H26"/>
    <mergeCell ref="K26:L26"/>
    <mergeCell ref="M23:M24"/>
  </mergeCells>
  <phoneticPr fontId="2"/>
  <printOptions horizontalCentered="1"/>
  <pageMargins left="0.39370078740157483" right="0.39370078740157483" top="0.78740157480314965" bottom="0.19685039370078741" header="0.31496062992125984" footer="0.19685039370078741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73"/>
  <sheetViews>
    <sheetView tabSelected="1" topLeftCell="A10" zoomScaleNormal="100" workbookViewId="0">
      <selection activeCell="N41" sqref="N41"/>
    </sheetView>
  </sheetViews>
  <sheetFormatPr defaultColWidth="8.875" defaultRowHeight="13.5"/>
  <cols>
    <col min="1" max="1" width="1.125" style="3" customWidth="1"/>
    <col min="2" max="2" width="3.5" style="15" bestFit="1" customWidth="1"/>
    <col min="3" max="3" width="14.5" style="3" customWidth="1"/>
    <col min="4" max="4" width="8.875" style="3" customWidth="1"/>
    <col min="5" max="5" width="5.5" style="3" bestFit="1" customWidth="1"/>
    <col min="6" max="10" width="8.875" style="3" customWidth="1"/>
    <col min="11" max="11" width="11.5" style="3" customWidth="1"/>
    <col min="12" max="12" width="11.125" style="3" customWidth="1"/>
    <col min="13" max="13" width="1.875" style="3" customWidth="1"/>
    <col min="14" max="14" width="8.875" style="3" customWidth="1"/>
    <col min="15" max="32" width="8.75" style="3" customWidth="1"/>
    <col min="33" max="16384" width="8.875" style="3"/>
  </cols>
  <sheetData>
    <row r="1" spans="2:33" ht="30.75" customHeight="1">
      <c r="B1" s="554" t="s">
        <v>351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</row>
    <row r="2" spans="2:33" ht="18.75">
      <c r="C2" s="1"/>
      <c r="D2" s="448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</row>
    <row r="3" spans="2:33" ht="18.75">
      <c r="C3" s="1" t="s">
        <v>350</v>
      </c>
      <c r="D3" s="201" t="s">
        <v>349</v>
      </c>
      <c r="E3" s="201"/>
      <c r="F3" s="201"/>
      <c r="G3" s="10"/>
      <c r="H3" s="10"/>
      <c r="I3" s="10"/>
      <c r="J3" s="10"/>
      <c r="K3" s="10"/>
      <c r="M3" s="344"/>
      <c r="N3" s="344"/>
      <c r="O3" s="70"/>
      <c r="P3" s="70"/>
      <c r="Q3" s="70"/>
      <c r="R3" s="70"/>
      <c r="S3" s="70"/>
      <c r="T3" s="70"/>
      <c r="U3" s="70"/>
      <c r="V3" s="70"/>
    </row>
    <row r="4" spans="2:33" ht="18.75">
      <c r="C4" s="1" t="s">
        <v>348</v>
      </c>
      <c r="D4" s="201" t="s">
        <v>347</v>
      </c>
      <c r="E4" s="201"/>
      <c r="F4" s="201"/>
      <c r="G4" s="10"/>
      <c r="H4" s="10"/>
      <c r="I4" s="10"/>
      <c r="J4" s="10"/>
      <c r="K4" s="10"/>
      <c r="M4" s="344"/>
      <c r="N4" s="344"/>
      <c r="O4" s="70"/>
      <c r="P4" s="70"/>
      <c r="Q4" s="70"/>
      <c r="R4" s="70"/>
      <c r="S4" s="70"/>
      <c r="T4" s="70"/>
      <c r="U4" s="70"/>
      <c r="V4" s="70"/>
    </row>
    <row r="5" spans="2:33" ht="18.75">
      <c r="C5" s="1" t="s">
        <v>346</v>
      </c>
      <c r="D5" s="447" t="s">
        <v>345</v>
      </c>
      <c r="E5" s="202" t="s">
        <v>344</v>
      </c>
      <c r="F5" s="446" t="s">
        <v>343</v>
      </c>
      <c r="G5" s="9"/>
      <c r="H5" s="9"/>
      <c r="I5" s="9"/>
      <c r="J5" s="9"/>
      <c r="K5" s="9"/>
      <c r="M5" s="344"/>
      <c r="N5" s="344"/>
      <c r="O5" s="70"/>
      <c r="P5" s="70"/>
      <c r="Q5" s="70"/>
      <c r="R5" s="70"/>
      <c r="S5" s="70"/>
      <c r="T5" s="70"/>
    </row>
    <row r="6" spans="2:33" ht="18.75">
      <c r="C6" s="1"/>
      <c r="D6" s="129"/>
      <c r="E6" s="130"/>
      <c r="F6" s="131"/>
      <c r="G6" s="18"/>
      <c r="H6" s="18"/>
      <c r="I6" s="18"/>
      <c r="J6" s="18"/>
      <c r="K6" s="445"/>
      <c r="M6" s="344"/>
      <c r="N6" s="344"/>
      <c r="O6" s="70"/>
      <c r="P6" s="70"/>
      <c r="Q6" s="70"/>
      <c r="R6" s="70"/>
      <c r="S6" s="70"/>
      <c r="T6" s="70"/>
    </row>
    <row r="7" spans="2:33" ht="18.75">
      <c r="C7" s="1"/>
      <c r="D7" s="268" t="s">
        <v>342</v>
      </c>
      <c r="E7" s="130"/>
      <c r="F7" s="131"/>
      <c r="G7" s="18"/>
      <c r="H7" s="18"/>
      <c r="I7" s="18"/>
      <c r="J7" s="18"/>
      <c r="K7" s="18"/>
      <c r="M7" s="344"/>
      <c r="N7" s="344"/>
      <c r="O7" s="70"/>
      <c r="P7" s="70"/>
      <c r="Q7" s="70"/>
      <c r="R7" s="70"/>
      <c r="S7" s="70"/>
      <c r="T7" s="70"/>
    </row>
    <row r="8" spans="2:33" ht="18.75">
      <c r="C8" s="1"/>
      <c r="D8" s="444" t="s">
        <v>341</v>
      </c>
      <c r="E8" s="130"/>
      <c r="F8" s="131"/>
      <c r="G8" s="18"/>
      <c r="H8" s="18"/>
      <c r="I8" s="18"/>
      <c r="J8" s="18"/>
      <c r="K8" s="18"/>
      <c r="M8" s="344"/>
      <c r="N8" s="344"/>
      <c r="O8" s="70"/>
      <c r="P8" s="70"/>
      <c r="Q8" s="70"/>
      <c r="R8" s="70"/>
      <c r="S8" s="70"/>
      <c r="T8" s="70"/>
    </row>
    <row r="9" spans="2:33" ht="18.75">
      <c r="C9" s="1"/>
      <c r="D9" s="268"/>
      <c r="E9" s="130"/>
      <c r="F9" s="131"/>
      <c r="G9" s="18"/>
      <c r="H9" s="18"/>
      <c r="I9" s="18"/>
      <c r="J9" s="18"/>
      <c r="K9" s="18"/>
      <c r="M9" s="344"/>
      <c r="N9" s="344"/>
      <c r="O9" s="70"/>
      <c r="P9" s="70"/>
      <c r="Q9" s="70"/>
      <c r="R9" s="70"/>
      <c r="S9" s="70"/>
      <c r="T9" s="70"/>
    </row>
    <row r="10" spans="2:33" ht="15" customHeight="1" thickBot="1">
      <c r="M10" s="344"/>
      <c r="N10" s="344"/>
      <c r="O10" s="70"/>
      <c r="P10" s="70"/>
      <c r="Q10" s="70"/>
      <c r="R10" s="70"/>
      <c r="S10" s="70"/>
      <c r="T10" s="70"/>
    </row>
    <row r="11" spans="2:33" ht="15" customHeight="1" thickBot="1">
      <c r="B11" s="15" t="s">
        <v>340</v>
      </c>
      <c r="C11" s="3" t="s">
        <v>339</v>
      </c>
      <c r="M11" s="344"/>
      <c r="N11" s="344"/>
      <c r="O11" s="559" t="s">
        <v>338</v>
      </c>
      <c r="P11" s="560"/>
      <c r="Q11" s="560"/>
      <c r="R11" s="561"/>
      <c r="S11" s="70"/>
      <c r="T11" s="70"/>
      <c r="V11" s="443"/>
      <c r="W11" s="442"/>
      <c r="X11" s="442"/>
      <c r="Y11" s="442"/>
      <c r="Z11" s="442"/>
      <c r="AA11" s="442"/>
      <c r="AB11" s="442"/>
      <c r="AC11" s="442"/>
      <c r="AD11" s="442"/>
      <c r="AE11" s="442"/>
      <c r="AF11" s="441"/>
    </row>
    <row r="12" spans="2:33" ht="15" customHeight="1">
      <c r="D12" s="455" t="s">
        <v>337</v>
      </c>
      <c r="E12" s="480"/>
      <c r="F12" s="456"/>
      <c r="G12" s="81">
        <v>25</v>
      </c>
      <c r="H12" s="12" t="s">
        <v>336</v>
      </c>
      <c r="M12" s="344"/>
      <c r="N12" s="344"/>
      <c r="O12" s="70"/>
      <c r="P12" s="70"/>
      <c r="Q12" s="70"/>
      <c r="R12" s="70"/>
      <c r="S12" s="70"/>
      <c r="T12" s="70"/>
      <c r="V12" s="396" t="s">
        <v>335</v>
      </c>
      <c r="W12" s="18" t="s">
        <v>334</v>
      </c>
      <c r="X12" s="374"/>
      <c r="Y12" s="18"/>
      <c r="Z12" s="65" t="s">
        <v>313</v>
      </c>
      <c r="AA12" s="18"/>
      <c r="AB12" s="65" t="s">
        <v>316</v>
      </c>
      <c r="AC12" s="18"/>
      <c r="AD12" s="65" t="s">
        <v>321</v>
      </c>
      <c r="AE12" s="18"/>
      <c r="AF12" s="389"/>
    </row>
    <row r="13" spans="2:33" ht="15" customHeight="1">
      <c r="D13" s="455" t="s">
        <v>333</v>
      </c>
      <c r="E13" s="480"/>
      <c r="F13" s="456"/>
      <c r="G13" s="81">
        <v>3</v>
      </c>
      <c r="H13" s="12" t="s">
        <v>332</v>
      </c>
      <c r="M13" s="344"/>
      <c r="N13" s="344"/>
      <c r="O13" s="70"/>
      <c r="P13" s="70"/>
      <c r="Q13" s="70"/>
      <c r="R13" s="70"/>
      <c r="S13" s="70"/>
      <c r="T13" s="70"/>
      <c r="V13" s="434"/>
      <c r="W13" s="18" t="s">
        <v>331</v>
      </c>
      <c r="X13" s="18"/>
      <c r="Y13" s="440"/>
      <c r="Z13" s="440">
        <f>H20</f>
        <v>8</v>
      </c>
      <c r="AA13" s="440"/>
      <c r="AB13" s="440">
        <f>H19</f>
        <v>17</v>
      </c>
      <c r="AC13" s="440"/>
      <c r="AD13" s="440">
        <f>H18</f>
        <v>17</v>
      </c>
      <c r="AE13" s="440"/>
      <c r="AF13" s="439"/>
    </row>
    <row r="14" spans="2:33" ht="15" customHeight="1">
      <c r="M14" s="344"/>
      <c r="N14" s="344"/>
      <c r="O14" s="70"/>
      <c r="P14" s="70"/>
      <c r="Q14" s="70"/>
      <c r="R14" s="70"/>
      <c r="S14" s="70"/>
      <c r="T14" s="70"/>
      <c r="V14" s="413"/>
      <c r="W14" s="18"/>
      <c r="X14" s="18"/>
      <c r="Y14" s="438"/>
      <c r="Z14" s="438"/>
      <c r="AA14" s="438"/>
      <c r="AB14" s="438"/>
      <c r="AC14" s="438"/>
      <c r="AD14" s="437"/>
      <c r="AE14" s="437"/>
      <c r="AF14" s="436"/>
    </row>
    <row r="15" spans="2:33" ht="15" customHeight="1">
      <c r="B15" s="15" t="s">
        <v>330</v>
      </c>
      <c r="C15" s="3" t="s">
        <v>329</v>
      </c>
      <c r="H15" s="70"/>
      <c r="N15" s="344"/>
      <c r="O15" s="70"/>
      <c r="P15" s="70"/>
      <c r="Q15" s="70"/>
      <c r="R15" s="70"/>
      <c r="S15" s="70"/>
      <c r="T15" s="70"/>
      <c r="V15" s="434"/>
      <c r="W15" s="18"/>
      <c r="X15" s="18"/>
      <c r="Y15" s="18"/>
      <c r="Z15" s="381"/>
      <c r="AA15" s="435"/>
      <c r="AB15" s="381"/>
      <c r="AC15" s="435"/>
      <c r="AD15" s="553">
        <v>13</v>
      </c>
      <c r="AE15" s="550">
        <v>1.8</v>
      </c>
      <c r="AF15" s="432"/>
      <c r="AG15" s="70"/>
    </row>
    <row r="16" spans="2:33" ht="15" customHeight="1">
      <c r="D16" s="530" t="s">
        <v>328</v>
      </c>
      <c r="E16" s="453" t="s">
        <v>327</v>
      </c>
      <c r="F16" s="451"/>
      <c r="G16" s="279" t="s">
        <v>227</v>
      </c>
      <c r="H16" s="279" t="s">
        <v>326</v>
      </c>
      <c r="I16" s="481" t="s">
        <v>75</v>
      </c>
      <c r="J16" s="481"/>
      <c r="K16" s="481" t="s">
        <v>74</v>
      </c>
      <c r="L16" s="514" t="s">
        <v>76</v>
      </c>
      <c r="N16" s="344"/>
      <c r="O16" s="70"/>
      <c r="P16" s="70"/>
      <c r="Q16" s="70"/>
      <c r="R16" s="70"/>
      <c r="S16" s="70"/>
      <c r="T16" s="70"/>
      <c r="V16" s="434"/>
      <c r="W16" s="405"/>
      <c r="X16" s="390"/>
      <c r="Y16" s="390"/>
      <c r="Z16" s="426"/>
      <c r="AA16" s="433"/>
      <c r="AB16" s="426"/>
      <c r="AC16" s="433"/>
      <c r="AD16" s="553"/>
      <c r="AE16" s="550"/>
      <c r="AF16" s="432"/>
    </row>
    <row r="17" spans="2:33" s="70" customFormat="1" ht="15" customHeight="1" thickBot="1">
      <c r="B17" s="431"/>
      <c r="D17" s="513"/>
      <c r="E17" s="454"/>
      <c r="F17" s="452"/>
      <c r="G17" s="276" t="s">
        <v>287</v>
      </c>
      <c r="H17" s="276" t="s">
        <v>325</v>
      </c>
      <c r="I17" s="481"/>
      <c r="J17" s="481"/>
      <c r="K17" s="481"/>
      <c r="L17" s="514"/>
      <c r="N17" s="344"/>
      <c r="O17" s="545" t="s">
        <v>324</v>
      </c>
      <c r="P17" s="545"/>
      <c r="Q17" s="545" t="s">
        <v>323</v>
      </c>
      <c r="R17" s="545"/>
      <c r="S17" s="545" t="s">
        <v>322</v>
      </c>
      <c r="T17" s="545"/>
      <c r="V17" s="418"/>
      <c r="W17" s="390"/>
      <c r="X17" s="430"/>
      <c r="Y17" s="429">
        <f>Y20</f>
        <v>2.2999999999999998</v>
      </c>
      <c r="Z17" s="427"/>
      <c r="AA17" s="428">
        <f>AA20</f>
        <v>0.8</v>
      </c>
      <c r="AB17" s="427"/>
      <c r="AC17" s="428">
        <f>AC20</f>
        <v>1.2</v>
      </c>
      <c r="AD17" s="427"/>
      <c r="AE17" s="18"/>
      <c r="AF17" s="389"/>
      <c r="AG17" s="3"/>
    </row>
    <row r="18" spans="2:33" ht="15" customHeight="1">
      <c r="D18" s="277" t="s">
        <v>321</v>
      </c>
      <c r="E18" s="481" t="s">
        <v>2</v>
      </c>
      <c r="F18" s="481"/>
      <c r="G18" s="278">
        <v>13</v>
      </c>
      <c r="H18" s="278">
        <v>17</v>
      </c>
      <c r="I18" s="479" t="s">
        <v>314</v>
      </c>
      <c r="J18" s="479"/>
      <c r="K18" s="79">
        <v>5</v>
      </c>
      <c r="L18" s="491" t="s">
        <v>77</v>
      </c>
      <c r="N18" s="344"/>
      <c r="O18" s="419"/>
      <c r="P18" s="374"/>
      <c r="Q18" s="374"/>
      <c r="R18" s="380"/>
      <c r="S18" s="372"/>
      <c r="T18" s="376"/>
      <c r="V18" s="418"/>
      <c r="W18" s="426"/>
      <c r="X18" s="425" t="s">
        <v>320</v>
      </c>
      <c r="Y18" s="424">
        <f>H21</f>
        <v>42</v>
      </c>
      <c r="Z18" s="405" t="s">
        <v>319</v>
      </c>
      <c r="AA18" s="390"/>
      <c r="AB18" s="405" t="s">
        <v>318</v>
      </c>
      <c r="AC18" s="405"/>
      <c r="AD18" s="405" t="s">
        <v>317</v>
      </c>
      <c r="AE18" s="405"/>
      <c r="AF18" s="423"/>
    </row>
    <row r="19" spans="2:33" ht="15" customHeight="1">
      <c r="D19" s="277" t="s">
        <v>316</v>
      </c>
      <c r="E19" s="481" t="s">
        <v>315</v>
      </c>
      <c r="F19" s="481"/>
      <c r="G19" s="278">
        <v>13</v>
      </c>
      <c r="H19" s="278">
        <v>17</v>
      </c>
      <c r="I19" s="479" t="s">
        <v>314</v>
      </c>
      <c r="J19" s="479"/>
      <c r="K19" s="79">
        <v>0</v>
      </c>
      <c r="L19" s="492"/>
      <c r="N19" s="344"/>
      <c r="O19" s="419"/>
      <c r="P19" s="374"/>
      <c r="Q19" s="377"/>
      <c r="R19" s="380"/>
      <c r="S19" s="378"/>
      <c r="T19" s="545"/>
      <c r="U19" s="544"/>
      <c r="V19" s="418"/>
      <c r="W19" s="422"/>
      <c r="X19" s="550">
        <v>3</v>
      </c>
      <c r="Y19" s="421">
        <v>20</v>
      </c>
      <c r="Z19" s="421"/>
      <c r="AA19" s="421">
        <v>20</v>
      </c>
      <c r="AB19" s="421"/>
      <c r="AC19" s="421">
        <v>20</v>
      </c>
      <c r="AD19" s="420"/>
      <c r="AE19" s="18"/>
      <c r="AF19" s="389"/>
    </row>
    <row r="20" spans="2:33" ht="15" customHeight="1">
      <c r="D20" s="277" t="s">
        <v>313</v>
      </c>
      <c r="E20" s="481" t="s">
        <v>137</v>
      </c>
      <c r="F20" s="481"/>
      <c r="G20" s="278">
        <v>13</v>
      </c>
      <c r="H20" s="278">
        <v>8</v>
      </c>
      <c r="I20" s="479" t="s">
        <v>312</v>
      </c>
      <c r="J20" s="479"/>
      <c r="K20" s="79">
        <v>0</v>
      </c>
      <c r="L20" s="493"/>
      <c r="N20" s="344"/>
      <c r="O20" s="419"/>
      <c r="P20" s="564" t="s">
        <v>267</v>
      </c>
      <c r="Q20" s="565"/>
      <c r="R20" s="546" t="s">
        <v>269</v>
      </c>
      <c r="S20" s="547"/>
      <c r="T20" s="545" t="s">
        <v>271</v>
      </c>
      <c r="U20" s="545"/>
      <c r="V20" s="418"/>
      <c r="W20" s="372"/>
      <c r="X20" s="550"/>
      <c r="Y20" s="417">
        <v>2.2999999999999998</v>
      </c>
      <c r="Z20" s="417"/>
      <c r="AA20" s="417">
        <v>0.8</v>
      </c>
      <c r="AB20" s="417"/>
      <c r="AC20" s="417">
        <v>1.2</v>
      </c>
      <c r="AD20" s="416"/>
      <c r="AE20" s="18"/>
      <c r="AF20" s="389"/>
    </row>
    <row r="21" spans="2:33" ht="15" customHeight="1">
      <c r="D21" s="277"/>
      <c r="E21" s="481"/>
      <c r="F21" s="481"/>
      <c r="G21" s="277" t="s">
        <v>311</v>
      </c>
      <c r="H21" s="277">
        <f>SUM(H18:H20)</f>
        <v>42</v>
      </c>
      <c r="I21" s="457" t="s">
        <v>310</v>
      </c>
      <c r="J21" s="457"/>
      <c r="K21" s="79"/>
      <c r="L21" s="415"/>
      <c r="O21" s="414"/>
      <c r="P21" s="372"/>
      <c r="Q21" s="374"/>
      <c r="R21" s="373"/>
      <c r="S21" s="372"/>
      <c r="T21" s="372"/>
      <c r="U21" s="407"/>
      <c r="V21" s="413"/>
      <c r="W21" s="412"/>
      <c r="X21" s="550"/>
      <c r="Y21" s="18"/>
      <c r="Z21" s="18"/>
      <c r="AA21" s="18"/>
      <c r="AB21" s="18"/>
      <c r="AC21" s="18"/>
      <c r="AD21" s="18"/>
      <c r="AE21" s="18"/>
      <c r="AF21" s="389"/>
    </row>
    <row r="22" spans="2:33" ht="15" customHeight="1" thickBot="1">
      <c r="D22" s="411"/>
      <c r="E22" s="563"/>
      <c r="F22" s="563"/>
      <c r="G22" s="411"/>
      <c r="H22" s="411"/>
      <c r="I22" s="566"/>
      <c r="J22" s="566"/>
      <c r="K22" s="410"/>
      <c r="L22" s="409"/>
      <c r="O22" s="408"/>
      <c r="P22" s="368">
        <f t="shared" ref="P22:U22" si="0">P27</f>
        <v>1</v>
      </c>
      <c r="Q22" s="370">
        <f t="shared" si="0"/>
        <v>0.5</v>
      </c>
      <c r="R22" s="369">
        <f t="shared" si="0"/>
        <v>9</v>
      </c>
      <c r="S22" s="368">
        <f t="shared" si="0"/>
        <v>0.5</v>
      </c>
      <c r="T22" s="368">
        <f t="shared" si="0"/>
        <v>0.5</v>
      </c>
      <c r="U22" s="370">
        <f t="shared" si="0"/>
        <v>1.5</v>
      </c>
      <c r="V22" s="567" t="s">
        <v>309</v>
      </c>
      <c r="W22" s="371">
        <v>0.3</v>
      </c>
      <c r="X22" s="407"/>
      <c r="Y22" s="18"/>
      <c r="Z22" s="18"/>
      <c r="AA22" s="390"/>
      <c r="AB22" s="390"/>
      <c r="AC22" s="390"/>
      <c r="AD22" s="390"/>
      <c r="AE22" s="18"/>
      <c r="AF22" s="389"/>
    </row>
    <row r="23" spans="2:33" ht="15" customHeight="1">
      <c r="D23" s="18"/>
      <c r="E23" s="18"/>
      <c r="F23" s="18"/>
      <c r="G23" s="65"/>
      <c r="H23" s="65"/>
      <c r="I23" s="18"/>
      <c r="J23" s="18"/>
      <c r="K23" s="18"/>
      <c r="L23" s="18"/>
      <c r="M23" s="70"/>
      <c r="N23" s="344"/>
      <c r="O23" s="406" t="s">
        <v>308</v>
      </c>
      <c r="P23" s="406" t="s">
        <v>307</v>
      </c>
      <c r="Q23" s="406" t="s">
        <v>306</v>
      </c>
      <c r="R23" s="406" t="s">
        <v>305</v>
      </c>
      <c r="S23" s="406" t="s">
        <v>304</v>
      </c>
      <c r="T23" s="406" t="s">
        <v>303</v>
      </c>
      <c r="U23" s="405" t="s">
        <v>302</v>
      </c>
      <c r="V23" s="567"/>
      <c r="W23" s="404" t="s">
        <v>301</v>
      </c>
      <c r="X23" s="403" t="s">
        <v>300</v>
      </c>
      <c r="Y23" s="402"/>
      <c r="Z23" s="390"/>
      <c r="AA23" s="390"/>
      <c r="AB23" s="390"/>
      <c r="AC23" s="18"/>
      <c r="AD23" s="18"/>
      <c r="AE23" s="18"/>
      <c r="AF23" s="389"/>
    </row>
    <row r="24" spans="2:33" ht="15" customHeight="1">
      <c r="B24" s="15" t="s">
        <v>299</v>
      </c>
      <c r="C24" s="3" t="s">
        <v>298</v>
      </c>
      <c r="N24" s="398" t="s">
        <v>297</v>
      </c>
      <c r="O24" s="376"/>
      <c r="P24" s="361">
        <v>6</v>
      </c>
      <c r="Q24" s="361">
        <v>5</v>
      </c>
      <c r="R24" s="361">
        <v>4</v>
      </c>
      <c r="S24" s="361">
        <v>3</v>
      </c>
      <c r="T24" s="361">
        <v>2</v>
      </c>
      <c r="U24" s="401">
        <v>1</v>
      </c>
      <c r="V24" s="400"/>
      <c r="W24" s="399">
        <f>H21</f>
        <v>42</v>
      </c>
      <c r="X24" s="374"/>
      <c r="Y24" s="390"/>
      <c r="Z24" s="390"/>
      <c r="AA24" s="390"/>
      <c r="AB24" s="390"/>
      <c r="AC24" s="18"/>
      <c r="AD24" s="18"/>
      <c r="AE24" s="18"/>
      <c r="AF24" s="389"/>
    </row>
    <row r="25" spans="2:33" ht="15" customHeight="1">
      <c r="D25" s="343" t="s">
        <v>296</v>
      </c>
      <c r="M25" s="344"/>
      <c r="N25" s="398" t="s">
        <v>295</v>
      </c>
      <c r="P25" s="357">
        <f t="shared" ref="P25:U25" si="1">ROUND((42*P24^0.33),0)</f>
        <v>76</v>
      </c>
      <c r="Q25" s="357">
        <f t="shared" si="1"/>
        <v>71</v>
      </c>
      <c r="R25" s="357">
        <f t="shared" si="1"/>
        <v>66</v>
      </c>
      <c r="S25" s="357">
        <f t="shared" si="1"/>
        <v>60</v>
      </c>
      <c r="T25" s="357">
        <f t="shared" si="1"/>
        <v>53</v>
      </c>
      <c r="U25" s="397">
        <f t="shared" si="1"/>
        <v>42</v>
      </c>
      <c r="V25" s="396"/>
      <c r="W25" s="395">
        <v>20</v>
      </c>
      <c r="X25" s="18"/>
      <c r="Y25" s="390"/>
      <c r="Z25" s="390"/>
      <c r="AA25" s="390"/>
      <c r="AB25" s="390"/>
      <c r="AC25" s="18"/>
      <c r="AD25" s="18"/>
      <c r="AE25" s="18"/>
      <c r="AF25" s="389"/>
    </row>
    <row r="26" spans="2:33" ht="15" customHeight="1">
      <c r="C26" s="481" t="s">
        <v>294</v>
      </c>
      <c r="D26" s="279" t="s">
        <v>216</v>
      </c>
      <c r="E26" s="279" t="s">
        <v>227</v>
      </c>
      <c r="F26" s="279" t="s">
        <v>293</v>
      </c>
      <c r="G26" s="279" t="s">
        <v>292</v>
      </c>
      <c r="H26" s="279" t="s">
        <v>291</v>
      </c>
      <c r="I26" s="279" t="s">
        <v>290</v>
      </c>
      <c r="J26" s="279" t="s">
        <v>289</v>
      </c>
      <c r="K26" s="279"/>
      <c r="M26" s="344"/>
      <c r="N26" s="562" t="s">
        <v>288</v>
      </c>
      <c r="O26" s="562"/>
      <c r="P26" s="351">
        <v>40</v>
      </c>
      <c r="Q26" s="351">
        <v>40</v>
      </c>
      <c r="R26" s="351">
        <v>40</v>
      </c>
      <c r="S26" s="351">
        <v>40</v>
      </c>
      <c r="T26" s="351">
        <v>40</v>
      </c>
      <c r="U26" s="394">
        <v>20</v>
      </c>
      <c r="V26" s="393"/>
      <c r="W26" s="392"/>
      <c r="X26" s="391"/>
      <c r="Y26" s="391"/>
      <c r="Z26" s="391"/>
      <c r="AA26" s="391"/>
      <c r="AB26" s="390"/>
      <c r="AC26" s="18"/>
      <c r="AD26" s="18"/>
      <c r="AE26" s="18"/>
      <c r="AF26" s="389"/>
    </row>
    <row r="27" spans="2:33" ht="15" customHeight="1" thickBot="1">
      <c r="C27" s="481"/>
      <c r="D27" s="276" t="s">
        <v>210</v>
      </c>
      <c r="E27" s="276" t="s">
        <v>287</v>
      </c>
      <c r="F27" s="276" t="s">
        <v>286</v>
      </c>
      <c r="G27" s="276" t="s">
        <v>285</v>
      </c>
      <c r="H27" s="276" t="s">
        <v>285</v>
      </c>
      <c r="I27" s="276" t="s">
        <v>285</v>
      </c>
      <c r="J27" s="276" t="s">
        <v>285</v>
      </c>
      <c r="K27" s="276"/>
      <c r="M27" s="344"/>
      <c r="N27" s="562" t="s">
        <v>284</v>
      </c>
      <c r="O27" s="562"/>
      <c r="P27" s="347">
        <v>1</v>
      </c>
      <c r="Q27" s="347">
        <v>0.5</v>
      </c>
      <c r="R27" s="347">
        <v>9</v>
      </c>
      <c r="S27" s="347">
        <v>0.5</v>
      </c>
      <c r="T27" s="347">
        <v>0.5</v>
      </c>
      <c r="U27" s="388">
        <v>1.5</v>
      </c>
      <c r="V27" s="387"/>
      <c r="W27" s="386"/>
      <c r="X27" s="385"/>
      <c r="Y27" s="385"/>
      <c r="Z27" s="367"/>
      <c r="AA27" s="367"/>
      <c r="AB27" s="384"/>
      <c r="AC27" s="384"/>
      <c r="AD27" s="384"/>
      <c r="AE27" s="384"/>
      <c r="AF27" s="383"/>
    </row>
    <row r="28" spans="2:33" ht="15" customHeight="1">
      <c r="C28" s="277" t="s">
        <v>283</v>
      </c>
      <c r="D28" s="132">
        <f>H18</f>
        <v>17</v>
      </c>
      <c r="E28" s="132">
        <f>G18</f>
        <v>13</v>
      </c>
      <c r="F28" s="132">
        <f t="shared" ref="F28:F57" si="2">IF(D28*E28*G28=0,0,ROUND((0.0126+((0.01739-0.1087*(E28/1000)))/((D28/1000/60)/(PI()*(E28/1000)^2/4))^0.5)*1/(E28/1000)*((D28/1000/60)/(PI()*(E28/1000)^2/4))^2/(2*9.8)/1*1000,0))</f>
        <v>421</v>
      </c>
      <c r="G28" s="324">
        <v>3</v>
      </c>
      <c r="H28" s="134">
        <f t="shared" ref="H28:H57" si="3">F28/1000*G28</f>
        <v>1.2629999999999999</v>
      </c>
      <c r="I28" s="323"/>
      <c r="J28" s="134">
        <f t="shared" ref="J28:J57" si="4">ROUND(H28+I28,2)</f>
        <v>1.26</v>
      </c>
      <c r="K28" s="322" t="s">
        <v>190</v>
      </c>
      <c r="M28" s="344"/>
      <c r="O28" s="376"/>
      <c r="P28" s="382"/>
      <c r="Q28" s="382"/>
      <c r="R28" s="382"/>
      <c r="S28" s="382"/>
      <c r="T28" s="382"/>
      <c r="U28" s="382"/>
      <c r="V28" s="376"/>
      <c r="W28" s="376"/>
      <c r="X28" s="376"/>
      <c r="Y28" s="376"/>
      <c r="Z28" s="281"/>
      <c r="AA28" s="281"/>
    </row>
    <row r="29" spans="2:33" ht="15" customHeight="1">
      <c r="C29" s="277" t="s">
        <v>282</v>
      </c>
      <c r="D29" s="132">
        <f>D28</f>
        <v>17</v>
      </c>
      <c r="E29" s="132">
        <f>AD15</f>
        <v>13</v>
      </c>
      <c r="F29" s="132">
        <f t="shared" si="2"/>
        <v>421</v>
      </c>
      <c r="G29" s="134">
        <f>AE15</f>
        <v>1.8</v>
      </c>
      <c r="H29" s="134">
        <f t="shared" si="3"/>
        <v>0.75780000000000003</v>
      </c>
      <c r="I29" s="134">
        <f>AE15</f>
        <v>1.8</v>
      </c>
      <c r="J29" s="134">
        <f t="shared" si="4"/>
        <v>2.56</v>
      </c>
      <c r="K29" s="134"/>
      <c r="M29" s="344"/>
      <c r="O29" s="376"/>
      <c r="P29" s="382"/>
      <c r="Q29" s="382"/>
      <c r="R29" s="382"/>
      <c r="S29" s="382"/>
      <c r="T29" s="382"/>
      <c r="U29" s="382"/>
      <c r="V29" s="376"/>
      <c r="W29" s="376"/>
      <c r="X29" s="376"/>
      <c r="Y29" s="376"/>
      <c r="Z29" s="281"/>
      <c r="AA29" s="281"/>
    </row>
    <row r="30" spans="2:33" ht="15" customHeight="1">
      <c r="C30" s="277" t="s">
        <v>281</v>
      </c>
      <c r="D30" s="132">
        <f>D29</f>
        <v>17</v>
      </c>
      <c r="E30" s="132">
        <f>AC19</f>
        <v>20</v>
      </c>
      <c r="F30" s="132">
        <f t="shared" si="2"/>
        <v>59</v>
      </c>
      <c r="G30" s="134">
        <f>AC20</f>
        <v>1.2</v>
      </c>
      <c r="H30" s="134">
        <f t="shared" si="3"/>
        <v>7.0799999999999988E-2</v>
      </c>
      <c r="I30" s="323"/>
      <c r="J30" s="134">
        <f t="shared" si="4"/>
        <v>7.0000000000000007E-2</v>
      </c>
      <c r="K30" s="134"/>
      <c r="M30" s="344"/>
      <c r="O30" s="376"/>
      <c r="S30" s="376"/>
      <c r="T30" s="545" t="s">
        <v>280</v>
      </c>
      <c r="U30" s="545"/>
      <c r="V30" s="545" t="s">
        <v>279</v>
      </c>
      <c r="W30" s="545"/>
      <c r="X30" s="545" t="s">
        <v>278</v>
      </c>
      <c r="Y30" s="545"/>
      <c r="Z30" s="545" t="s">
        <v>277</v>
      </c>
      <c r="AA30" s="545"/>
      <c r="AB30" s="545" t="s">
        <v>276</v>
      </c>
      <c r="AC30" s="545"/>
    </row>
    <row r="31" spans="2:33" ht="15" customHeight="1">
      <c r="C31" s="277" t="s">
        <v>275</v>
      </c>
      <c r="D31" s="132">
        <f>H18+H19</f>
        <v>34</v>
      </c>
      <c r="E31" s="132">
        <f>AA19</f>
        <v>20</v>
      </c>
      <c r="F31" s="132">
        <f t="shared" si="2"/>
        <v>199</v>
      </c>
      <c r="G31" s="134">
        <f>AA20</f>
        <v>0.8</v>
      </c>
      <c r="H31" s="134">
        <f t="shared" si="3"/>
        <v>0.15920000000000001</v>
      </c>
      <c r="I31" s="323"/>
      <c r="J31" s="134">
        <f t="shared" si="4"/>
        <v>0.16</v>
      </c>
      <c r="K31" s="134"/>
      <c r="M31" s="344"/>
      <c r="O31" s="376"/>
      <c r="P31" s="376"/>
      <c r="R31" s="376"/>
      <c r="S31" s="376"/>
      <c r="T31" s="374"/>
      <c r="U31" s="380"/>
      <c r="V31" s="372"/>
      <c r="W31" s="376"/>
      <c r="X31" s="381"/>
      <c r="Y31" s="376"/>
      <c r="Z31" s="374"/>
      <c r="AA31" s="380"/>
      <c r="AB31" s="372"/>
      <c r="AC31" s="374"/>
    </row>
    <row r="32" spans="2:33" ht="15" customHeight="1">
      <c r="C32" s="277" t="s">
        <v>274</v>
      </c>
      <c r="D32" s="132">
        <f>H21</f>
        <v>42</v>
      </c>
      <c r="E32" s="132">
        <f>Y19</f>
        <v>20</v>
      </c>
      <c r="F32" s="132">
        <f t="shared" si="2"/>
        <v>289</v>
      </c>
      <c r="G32" s="134">
        <f>Y20</f>
        <v>2.2999999999999998</v>
      </c>
      <c r="H32" s="134">
        <f t="shared" si="3"/>
        <v>0.66469999999999985</v>
      </c>
      <c r="I32" s="323"/>
      <c r="J32" s="134">
        <f t="shared" si="4"/>
        <v>0.66</v>
      </c>
      <c r="K32" s="134"/>
      <c r="M32" s="344"/>
      <c r="N32" s="70"/>
      <c r="O32" s="70"/>
      <c r="P32" s="70"/>
      <c r="R32" s="376"/>
      <c r="S32" s="376"/>
      <c r="T32" s="377"/>
      <c r="U32" s="380"/>
      <c r="V32" s="377"/>
      <c r="W32" s="546"/>
      <c r="X32" s="547"/>
      <c r="Y32" s="377"/>
      <c r="Z32" s="377"/>
      <c r="AA32" s="379"/>
      <c r="AB32" s="378"/>
      <c r="AC32" s="377"/>
      <c r="AD32" s="70"/>
    </row>
    <row r="33" spans="2:32" ht="15" customHeight="1">
      <c r="C33" s="277" t="s">
        <v>273</v>
      </c>
      <c r="D33" s="132">
        <f>D32</f>
        <v>42</v>
      </c>
      <c r="E33" s="132">
        <f>Y19</f>
        <v>20</v>
      </c>
      <c r="F33" s="132">
        <f t="shared" si="2"/>
        <v>289</v>
      </c>
      <c r="G33" s="134">
        <f>X19</f>
        <v>3</v>
      </c>
      <c r="H33" s="134">
        <f t="shared" si="3"/>
        <v>0.86699999999999999</v>
      </c>
      <c r="I33" s="134">
        <f>X19</f>
        <v>3</v>
      </c>
      <c r="J33" s="134">
        <f t="shared" si="4"/>
        <v>3.87</v>
      </c>
      <c r="K33" s="134"/>
      <c r="M33" s="344"/>
      <c r="O33" s="70"/>
      <c r="P33" s="70"/>
      <c r="R33" s="376"/>
      <c r="S33" s="544" t="s">
        <v>272</v>
      </c>
      <c r="T33" s="545" t="s">
        <v>271</v>
      </c>
      <c r="U33" s="546" t="s">
        <v>270</v>
      </c>
      <c r="V33" s="545" t="s">
        <v>269</v>
      </c>
      <c r="W33" s="546" t="s">
        <v>268</v>
      </c>
      <c r="X33" s="547" t="s">
        <v>267</v>
      </c>
      <c r="Y33" s="545" t="s">
        <v>266</v>
      </c>
      <c r="Z33" s="545" t="s">
        <v>265</v>
      </c>
      <c r="AA33" s="546" t="s">
        <v>265</v>
      </c>
      <c r="AB33" s="547" t="s">
        <v>264</v>
      </c>
      <c r="AC33" s="374"/>
    </row>
    <row r="34" spans="2:32" ht="15" customHeight="1">
      <c r="C34" s="277" t="s">
        <v>263</v>
      </c>
      <c r="D34" s="132">
        <f>D33</f>
        <v>42</v>
      </c>
      <c r="E34" s="132">
        <f>W25</f>
        <v>20</v>
      </c>
      <c r="F34" s="132">
        <f t="shared" si="2"/>
        <v>289</v>
      </c>
      <c r="G34" s="134">
        <f>W22</f>
        <v>0.3</v>
      </c>
      <c r="H34" s="134">
        <f t="shared" si="3"/>
        <v>8.6699999999999985E-2</v>
      </c>
      <c r="I34" s="323"/>
      <c r="J34" s="134">
        <f t="shared" si="4"/>
        <v>0.09</v>
      </c>
      <c r="K34" s="134"/>
      <c r="M34" s="344"/>
      <c r="O34" s="70"/>
      <c r="P34" s="70"/>
      <c r="R34" s="376"/>
      <c r="S34" s="372"/>
      <c r="T34" s="374"/>
      <c r="U34" s="373"/>
      <c r="V34" s="374"/>
      <c r="W34" s="373"/>
      <c r="X34" s="375"/>
      <c r="Y34" s="372"/>
      <c r="Z34" s="374"/>
      <c r="AA34" s="373"/>
      <c r="AB34" s="372"/>
      <c r="AC34" s="281"/>
    </row>
    <row r="35" spans="2:32" ht="15" customHeight="1" thickBot="1">
      <c r="C35" s="277" t="s">
        <v>262</v>
      </c>
      <c r="D35" s="132">
        <f>D34</f>
        <v>42</v>
      </c>
      <c r="E35" s="132">
        <f>E34</f>
        <v>20</v>
      </c>
      <c r="F35" s="132">
        <f t="shared" si="2"/>
        <v>289</v>
      </c>
      <c r="G35" s="324">
        <f>R60</f>
        <v>8</v>
      </c>
      <c r="H35" s="134">
        <f t="shared" si="3"/>
        <v>2.3119999999999998</v>
      </c>
      <c r="I35" s="323"/>
      <c r="J35" s="134">
        <f t="shared" si="4"/>
        <v>2.31</v>
      </c>
      <c r="K35" s="322" t="s">
        <v>190</v>
      </c>
      <c r="M35" s="344"/>
      <c r="O35" s="70"/>
      <c r="P35" s="70"/>
      <c r="Q35" s="18"/>
      <c r="R35" s="575">
        <v>0.3</v>
      </c>
      <c r="S35" s="371">
        <f t="shared" ref="S35:AB35" si="5">S40</f>
        <v>0</v>
      </c>
      <c r="T35" s="369">
        <f t="shared" si="5"/>
        <v>0</v>
      </c>
      <c r="U35" s="369">
        <f t="shared" si="5"/>
        <v>0</v>
      </c>
      <c r="V35" s="369">
        <f t="shared" si="5"/>
        <v>0</v>
      </c>
      <c r="W35" s="369">
        <f t="shared" si="5"/>
        <v>5</v>
      </c>
      <c r="X35" s="370">
        <f t="shared" si="5"/>
        <v>0.5</v>
      </c>
      <c r="Y35" s="369">
        <f t="shared" si="5"/>
        <v>0.5</v>
      </c>
      <c r="Z35" s="368">
        <f t="shared" si="5"/>
        <v>0.5</v>
      </c>
      <c r="AA35" s="368">
        <f t="shared" si="5"/>
        <v>0.5</v>
      </c>
      <c r="AB35" s="368">
        <f t="shared" si="5"/>
        <v>0.5</v>
      </c>
      <c r="AC35" s="367"/>
    </row>
    <row r="36" spans="2:32" ht="15" customHeight="1">
      <c r="C36" s="277" t="s">
        <v>261</v>
      </c>
      <c r="D36" s="132">
        <f>D35</f>
        <v>42</v>
      </c>
      <c r="E36" s="132">
        <f>E34</f>
        <v>20</v>
      </c>
      <c r="F36" s="132">
        <f t="shared" si="2"/>
        <v>289</v>
      </c>
      <c r="G36" s="324">
        <f>R61</f>
        <v>12.4</v>
      </c>
      <c r="H36" s="134">
        <f t="shared" si="3"/>
        <v>3.5835999999999997</v>
      </c>
      <c r="I36" s="323"/>
      <c r="J36" s="134">
        <f t="shared" si="4"/>
        <v>3.58</v>
      </c>
      <c r="K36" s="322" t="s">
        <v>190</v>
      </c>
      <c r="M36" s="344"/>
      <c r="O36" s="70"/>
      <c r="P36" s="70"/>
      <c r="Q36" s="18"/>
      <c r="R36" s="575"/>
      <c r="S36" s="366" t="s">
        <v>124</v>
      </c>
      <c r="T36" s="5" t="s">
        <v>42</v>
      </c>
      <c r="U36" s="5" t="s">
        <v>260</v>
      </c>
      <c r="V36" s="5" t="s">
        <v>259</v>
      </c>
      <c r="W36" s="365" t="s">
        <v>258</v>
      </c>
      <c r="X36" s="365" t="s">
        <v>257</v>
      </c>
      <c r="Y36" s="5" t="s">
        <v>256</v>
      </c>
      <c r="Z36" s="5" t="s">
        <v>255</v>
      </c>
      <c r="AA36" s="5" t="s">
        <v>254</v>
      </c>
      <c r="AB36" s="5" t="s">
        <v>253</v>
      </c>
      <c r="AC36" s="5"/>
      <c r="AD36" s="5"/>
    </row>
    <row r="37" spans="2:32" ht="15" customHeight="1" thickBot="1">
      <c r="C37" s="321" t="s">
        <v>252</v>
      </c>
      <c r="D37" s="137">
        <f>D36</f>
        <v>42</v>
      </c>
      <c r="E37" s="137">
        <f>E34</f>
        <v>20</v>
      </c>
      <c r="F37" s="137">
        <f t="shared" si="2"/>
        <v>289</v>
      </c>
      <c r="G37" s="138">
        <f>U22</f>
        <v>1.5</v>
      </c>
      <c r="H37" s="138">
        <f t="shared" si="3"/>
        <v>0.4335</v>
      </c>
      <c r="I37" s="319"/>
      <c r="J37" s="138">
        <f t="shared" si="4"/>
        <v>0.43</v>
      </c>
      <c r="K37" s="364">
        <f>SUM(J28:J37)</f>
        <v>14.99</v>
      </c>
      <c r="M37" s="344"/>
      <c r="O37" s="363">
        <v>0.5</v>
      </c>
      <c r="P37" s="576" t="s">
        <v>251</v>
      </c>
      <c r="Q37" s="578">
        <v>2.5</v>
      </c>
      <c r="R37" s="579"/>
      <c r="S37" s="362"/>
      <c r="T37" s="361"/>
      <c r="U37" s="361"/>
      <c r="V37" s="361"/>
      <c r="W37" s="361">
        <v>12</v>
      </c>
      <c r="X37" s="361">
        <v>11</v>
      </c>
      <c r="Y37" s="361">
        <v>10</v>
      </c>
      <c r="Z37" s="361">
        <v>9</v>
      </c>
      <c r="AA37" s="361">
        <v>8</v>
      </c>
      <c r="AB37" s="361">
        <v>7</v>
      </c>
      <c r="AC37" s="346" t="s">
        <v>250</v>
      </c>
    </row>
    <row r="38" spans="2:32" ht="15" customHeight="1" thickTop="1">
      <c r="C38" s="276" t="s">
        <v>249</v>
      </c>
      <c r="D38" s="139">
        <f>T25</f>
        <v>53</v>
      </c>
      <c r="E38" s="139">
        <f>AB39</f>
        <v>40</v>
      </c>
      <c r="F38" s="139">
        <f t="shared" si="2"/>
        <v>18</v>
      </c>
      <c r="G38" s="141">
        <f>AB40</f>
        <v>0.5</v>
      </c>
      <c r="H38" s="141">
        <f t="shared" si="3"/>
        <v>8.9999999999999993E-3</v>
      </c>
      <c r="I38" s="360"/>
      <c r="J38" s="141">
        <f t="shared" si="4"/>
        <v>0.01</v>
      </c>
      <c r="K38" s="359" t="s">
        <v>248</v>
      </c>
      <c r="L38" s="356"/>
      <c r="M38" s="355"/>
      <c r="N38" s="358">
        <v>3</v>
      </c>
      <c r="O38" s="573">
        <v>1.1000000000000001</v>
      </c>
      <c r="P38" s="577"/>
      <c r="Q38" s="580" t="s">
        <v>247</v>
      </c>
      <c r="R38" s="580"/>
      <c r="S38" s="357">
        <f t="shared" ref="S38:X38" si="6">ROUND((19*S37^0.67),0)</f>
        <v>0</v>
      </c>
      <c r="T38" s="357">
        <f t="shared" si="6"/>
        <v>0</v>
      </c>
      <c r="U38" s="357">
        <f t="shared" si="6"/>
        <v>0</v>
      </c>
      <c r="V38" s="357">
        <f t="shared" si="6"/>
        <v>0</v>
      </c>
      <c r="W38" s="357">
        <f t="shared" si="6"/>
        <v>100</v>
      </c>
      <c r="X38" s="357">
        <f t="shared" si="6"/>
        <v>95</v>
      </c>
      <c r="Y38" s="357">
        <f>ROUND((42*Y37^0.33),0)</f>
        <v>90</v>
      </c>
      <c r="Z38" s="357">
        <f>ROUND((42*Z37^0.33),0)</f>
        <v>87</v>
      </c>
      <c r="AA38" s="357">
        <f>ROUND((42*AA37^0.33),0)</f>
        <v>83</v>
      </c>
      <c r="AB38" s="357">
        <f>ROUND((42*AB37^0.33),0)</f>
        <v>80</v>
      </c>
      <c r="AC38" s="13" t="s">
        <v>246</v>
      </c>
    </row>
    <row r="39" spans="2:32" ht="15" customHeight="1" thickBot="1">
      <c r="C39" s="277" t="s">
        <v>245</v>
      </c>
      <c r="D39" s="132">
        <f>S25</f>
        <v>60</v>
      </c>
      <c r="E39" s="132">
        <f>S26</f>
        <v>40</v>
      </c>
      <c r="F39" s="132">
        <f t="shared" si="2"/>
        <v>22</v>
      </c>
      <c r="G39" s="134">
        <f>S27</f>
        <v>0.5</v>
      </c>
      <c r="H39" s="134">
        <f t="shared" si="3"/>
        <v>1.0999999999999999E-2</v>
      </c>
      <c r="I39" s="323"/>
      <c r="J39" s="134">
        <f t="shared" si="4"/>
        <v>0.01</v>
      </c>
      <c r="K39" s="325" t="s">
        <v>244</v>
      </c>
      <c r="L39" s="356"/>
      <c r="M39" s="355"/>
      <c r="N39" s="354">
        <f>D53</f>
        <v>100</v>
      </c>
      <c r="O39" s="574"/>
      <c r="P39" s="353">
        <v>40</v>
      </c>
      <c r="Q39" s="555">
        <v>40</v>
      </c>
      <c r="R39" s="556"/>
      <c r="S39" s="351"/>
      <c r="T39" s="351"/>
      <c r="U39" s="351"/>
      <c r="V39" s="351"/>
      <c r="W39" s="351">
        <v>40</v>
      </c>
      <c r="X39" s="351">
        <v>40</v>
      </c>
      <c r="Y39" s="351">
        <v>40</v>
      </c>
      <c r="Z39" s="351">
        <v>40</v>
      </c>
      <c r="AA39" s="352">
        <v>40</v>
      </c>
      <c r="AB39" s="351">
        <v>40</v>
      </c>
      <c r="AC39" s="346" t="s">
        <v>243</v>
      </c>
    </row>
    <row r="40" spans="2:32" ht="15" customHeight="1">
      <c r="C40" s="277" t="s">
        <v>242</v>
      </c>
      <c r="D40" s="132">
        <f>R25</f>
        <v>66</v>
      </c>
      <c r="E40" s="132">
        <f>R26</f>
        <v>40</v>
      </c>
      <c r="F40" s="132">
        <f t="shared" si="2"/>
        <v>26</v>
      </c>
      <c r="G40" s="134">
        <f>R27</f>
        <v>9</v>
      </c>
      <c r="H40" s="134">
        <f t="shared" si="3"/>
        <v>0.23399999999999999</v>
      </c>
      <c r="I40" s="323"/>
      <c r="J40" s="134">
        <f t="shared" si="4"/>
        <v>0.23</v>
      </c>
      <c r="K40" s="325" t="s">
        <v>241</v>
      </c>
      <c r="N40" s="350"/>
      <c r="O40" s="349">
        <v>40</v>
      </c>
      <c r="P40" s="70"/>
      <c r="Q40" s="345"/>
      <c r="R40" s="345"/>
      <c r="S40" s="348"/>
      <c r="T40" s="347"/>
      <c r="U40" s="347"/>
      <c r="V40" s="347"/>
      <c r="W40" s="347">
        <v>5</v>
      </c>
      <c r="X40" s="347">
        <v>0.5</v>
      </c>
      <c r="Y40" s="347">
        <v>0.5</v>
      </c>
      <c r="Z40" s="347">
        <v>0.5</v>
      </c>
      <c r="AA40" s="347">
        <v>0.5</v>
      </c>
      <c r="AB40" s="347">
        <v>0.5</v>
      </c>
      <c r="AC40" s="346" t="s">
        <v>240</v>
      </c>
    </row>
    <row r="41" spans="2:32" ht="15" customHeight="1">
      <c r="C41" s="277" t="s">
        <v>239</v>
      </c>
      <c r="D41" s="132">
        <f>Q25</f>
        <v>71</v>
      </c>
      <c r="E41" s="132">
        <f>Q26</f>
        <v>40</v>
      </c>
      <c r="F41" s="132">
        <f t="shared" si="2"/>
        <v>29</v>
      </c>
      <c r="G41" s="134">
        <f>Q27</f>
        <v>0.5</v>
      </c>
      <c r="H41" s="134">
        <f t="shared" si="3"/>
        <v>1.4500000000000001E-2</v>
      </c>
      <c r="I41" s="323"/>
      <c r="J41" s="134">
        <f t="shared" si="4"/>
        <v>0.01</v>
      </c>
      <c r="K41" s="325" t="s">
        <v>238</v>
      </c>
      <c r="N41" s="345"/>
      <c r="O41" s="345"/>
      <c r="P41" s="70"/>
      <c r="Q41" s="70"/>
    </row>
    <row r="42" spans="2:32" ht="15" customHeight="1">
      <c r="C42" s="277" t="s">
        <v>237</v>
      </c>
      <c r="D42" s="132">
        <f>P25</f>
        <v>76</v>
      </c>
      <c r="E42" s="132">
        <f>P26</f>
        <v>40</v>
      </c>
      <c r="F42" s="132">
        <f t="shared" si="2"/>
        <v>33</v>
      </c>
      <c r="G42" s="134">
        <f>P27</f>
        <v>1</v>
      </c>
      <c r="H42" s="134">
        <f t="shared" si="3"/>
        <v>3.3000000000000002E-2</v>
      </c>
      <c r="I42" s="323"/>
      <c r="J42" s="134">
        <f t="shared" si="4"/>
        <v>0.03</v>
      </c>
      <c r="K42" s="325" t="s">
        <v>236</v>
      </c>
      <c r="N42" s="344"/>
      <c r="O42" s="70"/>
      <c r="P42" s="70"/>
      <c r="Q42" s="70"/>
      <c r="R42" s="70"/>
      <c r="S42" s="70"/>
      <c r="T42" s="70"/>
      <c r="U42" s="70"/>
      <c r="V42" s="70"/>
    </row>
    <row r="43" spans="2:32" ht="15" customHeight="1">
      <c r="B43" s="3"/>
      <c r="C43" s="277" t="s">
        <v>235</v>
      </c>
      <c r="D43" s="132">
        <f>AB38</f>
        <v>80</v>
      </c>
      <c r="E43" s="132">
        <f>AB39</f>
        <v>40</v>
      </c>
      <c r="F43" s="132">
        <f t="shared" si="2"/>
        <v>36</v>
      </c>
      <c r="G43" s="134">
        <f>AB40</f>
        <v>0.5</v>
      </c>
      <c r="H43" s="134">
        <f t="shared" si="3"/>
        <v>1.7999999999999999E-2</v>
      </c>
      <c r="I43" s="323"/>
      <c r="J43" s="134">
        <f t="shared" si="4"/>
        <v>0.02</v>
      </c>
      <c r="K43" s="325" t="s">
        <v>234</v>
      </c>
    </row>
    <row r="44" spans="2:32" ht="15" customHeight="1" thickBot="1">
      <c r="B44" s="3"/>
      <c r="C44" s="277" t="s">
        <v>233</v>
      </c>
      <c r="D44" s="132">
        <f>AA38</f>
        <v>83</v>
      </c>
      <c r="E44" s="132">
        <f>AA39</f>
        <v>40</v>
      </c>
      <c r="F44" s="132">
        <f t="shared" si="2"/>
        <v>39</v>
      </c>
      <c r="G44" s="134">
        <f>AA40</f>
        <v>0.5</v>
      </c>
      <c r="H44" s="134">
        <f t="shared" si="3"/>
        <v>1.95E-2</v>
      </c>
      <c r="I44" s="323"/>
      <c r="J44" s="134">
        <f t="shared" si="4"/>
        <v>0.02</v>
      </c>
      <c r="K44" s="325" t="s">
        <v>232</v>
      </c>
      <c r="N44" s="343" t="s">
        <v>231</v>
      </c>
      <c r="Y44" s="3" t="s">
        <v>230</v>
      </c>
    </row>
    <row r="45" spans="2:32" ht="15" customHeight="1" thickTop="1">
      <c r="B45" s="3"/>
      <c r="C45" s="277" t="s">
        <v>229</v>
      </c>
      <c r="D45" s="132">
        <f>Z38</f>
        <v>87</v>
      </c>
      <c r="E45" s="132">
        <f>Z39</f>
        <v>40</v>
      </c>
      <c r="F45" s="132">
        <f t="shared" si="2"/>
        <v>42</v>
      </c>
      <c r="G45" s="134">
        <f>Z40</f>
        <v>0.5</v>
      </c>
      <c r="H45" s="134">
        <f t="shared" si="3"/>
        <v>2.1000000000000001E-2</v>
      </c>
      <c r="I45" s="323"/>
      <c r="J45" s="134">
        <f t="shared" si="4"/>
        <v>0.02</v>
      </c>
      <c r="K45" s="325" t="s">
        <v>228</v>
      </c>
      <c r="N45" s="342"/>
      <c r="O45" s="9"/>
      <c r="P45" s="451" t="s">
        <v>227</v>
      </c>
      <c r="Q45" s="481">
        <v>13</v>
      </c>
      <c r="R45" s="481">
        <v>20</v>
      </c>
      <c r="S45" s="481">
        <v>25</v>
      </c>
      <c r="T45" s="481">
        <v>40</v>
      </c>
      <c r="U45" s="481">
        <v>50</v>
      </c>
      <c r="V45" s="481">
        <v>75</v>
      </c>
      <c r="W45" s="548" t="s">
        <v>226</v>
      </c>
      <c r="Y45" s="341" t="s">
        <v>225</v>
      </c>
      <c r="Z45" s="340" t="s">
        <v>224</v>
      </c>
      <c r="AA45" s="339" t="s">
        <v>224</v>
      </c>
      <c r="AB45" s="338" t="s">
        <v>224</v>
      </c>
      <c r="AC45" s="341" t="s">
        <v>225</v>
      </c>
      <c r="AD45" s="340" t="s">
        <v>224</v>
      </c>
      <c r="AE45" s="339" t="s">
        <v>224</v>
      </c>
      <c r="AF45" s="338" t="s">
        <v>224</v>
      </c>
    </row>
    <row r="46" spans="2:32" ht="15" customHeight="1">
      <c r="B46" s="3"/>
      <c r="C46" s="277" t="s">
        <v>223</v>
      </c>
      <c r="D46" s="132">
        <f>Y38</f>
        <v>90</v>
      </c>
      <c r="E46" s="132">
        <f>Y39</f>
        <v>40</v>
      </c>
      <c r="F46" s="132">
        <f t="shared" si="2"/>
        <v>45</v>
      </c>
      <c r="G46" s="134">
        <f>Y40</f>
        <v>0.5</v>
      </c>
      <c r="H46" s="134">
        <f t="shared" si="3"/>
        <v>2.2499999999999999E-2</v>
      </c>
      <c r="I46" s="323"/>
      <c r="J46" s="134">
        <f t="shared" si="4"/>
        <v>0.02</v>
      </c>
      <c r="K46" s="325" t="s">
        <v>222</v>
      </c>
      <c r="N46" s="557" t="s">
        <v>221</v>
      </c>
      <c r="O46" s="8"/>
      <c r="P46" s="488"/>
      <c r="Q46" s="481"/>
      <c r="R46" s="481"/>
      <c r="S46" s="481"/>
      <c r="T46" s="481"/>
      <c r="U46" s="481"/>
      <c r="V46" s="481"/>
      <c r="W46" s="558"/>
      <c r="Y46" s="551" t="s">
        <v>220</v>
      </c>
      <c r="Z46" s="337" t="s">
        <v>219</v>
      </c>
      <c r="AA46" s="336" t="s">
        <v>219</v>
      </c>
      <c r="AB46" s="335" t="s">
        <v>219</v>
      </c>
      <c r="AC46" s="551" t="s">
        <v>220</v>
      </c>
      <c r="AD46" s="337" t="s">
        <v>219</v>
      </c>
      <c r="AE46" s="336" t="s">
        <v>219</v>
      </c>
      <c r="AF46" s="335" t="s">
        <v>219</v>
      </c>
    </row>
    <row r="47" spans="2:32" ht="15" customHeight="1">
      <c r="B47" s="3"/>
      <c r="C47" s="277" t="s">
        <v>218</v>
      </c>
      <c r="D47" s="132">
        <f>X38</f>
        <v>95</v>
      </c>
      <c r="E47" s="132">
        <f>X39</f>
        <v>40</v>
      </c>
      <c r="F47" s="132">
        <f t="shared" si="2"/>
        <v>49</v>
      </c>
      <c r="G47" s="134">
        <f>X40</f>
        <v>0.5</v>
      </c>
      <c r="H47" s="134">
        <f t="shared" si="3"/>
        <v>2.4500000000000001E-2</v>
      </c>
      <c r="I47" s="323"/>
      <c r="J47" s="134">
        <f t="shared" si="4"/>
        <v>0.02</v>
      </c>
      <c r="K47" s="325" t="s">
        <v>217</v>
      </c>
      <c r="N47" s="454"/>
      <c r="O47" s="10"/>
      <c r="P47" s="11"/>
      <c r="Q47" s="481"/>
      <c r="R47" s="481"/>
      <c r="S47" s="481"/>
      <c r="T47" s="481"/>
      <c r="U47" s="481"/>
      <c r="V47" s="481"/>
      <c r="W47" s="549"/>
      <c r="Y47" s="552"/>
      <c r="Z47" s="334" t="s">
        <v>216</v>
      </c>
      <c r="AA47" s="333" t="s">
        <v>216</v>
      </c>
      <c r="AB47" s="332" t="s">
        <v>216</v>
      </c>
      <c r="AC47" s="552"/>
      <c r="AD47" s="334" t="s">
        <v>216</v>
      </c>
      <c r="AE47" s="333" t="s">
        <v>216</v>
      </c>
      <c r="AF47" s="332" t="s">
        <v>216</v>
      </c>
    </row>
    <row r="48" spans="2:32" ht="15" customHeight="1" thickBot="1">
      <c r="B48" s="3"/>
      <c r="C48" s="277" t="s">
        <v>215</v>
      </c>
      <c r="D48" s="132">
        <f>W38</f>
        <v>100</v>
      </c>
      <c r="E48" s="132">
        <f>W39</f>
        <v>40</v>
      </c>
      <c r="F48" s="132">
        <f t="shared" si="2"/>
        <v>54</v>
      </c>
      <c r="G48" s="134">
        <f>W40</f>
        <v>5</v>
      </c>
      <c r="H48" s="134">
        <f t="shared" si="3"/>
        <v>0.27</v>
      </c>
      <c r="I48" s="323"/>
      <c r="J48" s="134">
        <f t="shared" si="4"/>
        <v>0.27</v>
      </c>
      <c r="K48" s="325" t="s">
        <v>214</v>
      </c>
      <c r="N48" s="571" t="s">
        <v>213</v>
      </c>
      <c r="O48" s="581"/>
      <c r="P48" s="582"/>
      <c r="Q48" s="296">
        <v>4</v>
      </c>
      <c r="R48" s="296">
        <v>8</v>
      </c>
      <c r="S48" s="296">
        <v>11</v>
      </c>
      <c r="T48" s="296">
        <v>20</v>
      </c>
      <c r="U48" s="296">
        <v>26</v>
      </c>
      <c r="V48" s="296"/>
      <c r="W48" s="548" t="s">
        <v>177</v>
      </c>
      <c r="Y48" s="331" t="s">
        <v>212</v>
      </c>
      <c r="Z48" s="330" t="s">
        <v>211</v>
      </c>
      <c r="AA48" s="329" t="s">
        <v>210</v>
      </c>
      <c r="AB48" s="328" t="s">
        <v>51</v>
      </c>
      <c r="AC48" s="331" t="s">
        <v>212</v>
      </c>
      <c r="AD48" s="330" t="s">
        <v>211</v>
      </c>
      <c r="AE48" s="329" t="s">
        <v>210</v>
      </c>
      <c r="AF48" s="328" t="s">
        <v>51</v>
      </c>
    </row>
    <row r="49" spans="2:33" ht="15" customHeight="1">
      <c r="B49" s="3"/>
      <c r="C49" s="277" t="s">
        <v>209</v>
      </c>
      <c r="D49" s="132">
        <f>V38</f>
        <v>0</v>
      </c>
      <c r="E49" s="132">
        <f>V39</f>
        <v>0</v>
      </c>
      <c r="F49" s="132">
        <f t="shared" si="2"/>
        <v>0</v>
      </c>
      <c r="G49" s="134">
        <f>V40</f>
        <v>0</v>
      </c>
      <c r="H49" s="134">
        <f t="shared" si="3"/>
        <v>0</v>
      </c>
      <c r="I49" s="323"/>
      <c r="J49" s="134">
        <f t="shared" si="4"/>
        <v>0</v>
      </c>
      <c r="K49" s="325" t="s">
        <v>208</v>
      </c>
      <c r="N49" s="327" t="s">
        <v>207</v>
      </c>
      <c r="O49" s="571"/>
      <c r="P49" s="572"/>
      <c r="Q49" s="297">
        <v>3</v>
      </c>
      <c r="R49" s="297">
        <v>8</v>
      </c>
      <c r="S49" s="296">
        <v>8</v>
      </c>
      <c r="T49" s="296">
        <v>17</v>
      </c>
      <c r="U49" s="296">
        <v>20</v>
      </c>
      <c r="V49" s="296"/>
      <c r="W49" s="549"/>
      <c r="Y49" s="294">
        <v>1</v>
      </c>
      <c r="Z49" s="293">
        <f t="shared" ref="Z49:Z57" si="7">ROUND((42*Y49^0.33)/1000*60,2)</f>
        <v>2.52</v>
      </c>
      <c r="AA49" s="292">
        <f t="shared" ref="AA49:AA57" si="8">ROUND((42*Y49^0.33),2)</f>
        <v>42</v>
      </c>
      <c r="AB49" s="291">
        <f t="shared" ref="AB49:AB57" si="9">ROUND((42*Y49^0.33)/60,2)</f>
        <v>0.7</v>
      </c>
      <c r="AC49" s="294">
        <v>21</v>
      </c>
      <c r="AD49" s="293">
        <f t="shared" ref="AD49:AD68" si="10">ROUND((19*AC49^0.67)/1000*60,2)</f>
        <v>8.77</v>
      </c>
      <c r="AE49" s="292">
        <f t="shared" ref="AE49:AE68" si="11">ROUND((19*AC49^0.67),2)</f>
        <v>146.1</v>
      </c>
      <c r="AF49" s="291">
        <f t="shared" ref="AF49:AF68" si="12">ROUND((19*AC49^0.67)/60,2)</f>
        <v>2.4300000000000002</v>
      </c>
    </row>
    <row r="50" spans="2:33" ht="15" customHeight="1">
      <c r="B50" s="3"/>
      <c r="C50" s="277" t="s">
        <v>206</v>
      </c>
      <c r="D50" s="132">
        <f>U38</f>
        <v>0</v>
      </c>
      <c r="E50" s="132">
        <f>U39</f>
        <v>0</v>
      </c>
      <c r="F50" s="132">
        <f t="shared" si="2"/>
        <v>0</v>
      </c>
      <c r="G50" s="134">
        <f>U40</f>
        <v>0</v>
      </c>
      <c r="H50" s="134">
        <f t="shared" si="3"/>
        <v>0</v>
      </c>
      <c r="I50" s="323"/>
      <c r="J50" s="134">
        <f t="shared" si="4"/>
        <v>0</v>
      </c>
      <c r="K50" s="325" t="s">
        <v>205</v>
      </c>
      <c r="N50" s="583" t="s">
        <v>204</v>
      </c>
      <c r="O50" s="584" t="s">
        <v>203</v>
      </c>
      <c r="P50" s="318" t="s">
        <v>196</v>
      </c>
      <c r="Q50" s="296">
        <v>0.5</v>
      </c>
      <c r="R50" s="296">
        <v>0.5</v>
      </c>
      <c r="S50" s="296">
        <v>0.5</v>
      </c>
      <c r="T50" s="296">
        <v>0.8</v>
      </c>
      <c r="U50" s="296">
        <v>1.2</v>
      </c>
      <c r="V50" s="296"/>
      <c r="W50" s="568" t="s">
        <v>202</v>
      </c>
      <c r="Y50" s="294">
        <v>2</v>
      </c>
      <c r="Z50" s="293">
        <f t="shared" si="7"/>
        <v>3.17</v>
      </c>
      <c r="AA50" s="292">
        <f t="shared" si="8"/>
        <v>52.79</v>
      </c>
      <c r="AB50" s="291">
        <f t="shared" si="9"/>
        <v>0.88</v>
      </c>
      <c r="AC50" s="294">
        <v>22</v>
      </c>
      <c r="AD50" s="293">
        <f t="shared" si="10"/>
        <v>9.0399999999999991</v>
      </c>
      <c r="AE50" s="292">
        <f t="shared" si="11"/>
        <v>150.72</v>
      </c>
      <c r="AF50" s="291">
        <f t="shared" si="12"/>
        <v>2.5099999999999998</v>
      </c>
    </row>
    <row r="51" spans="2:33" ht="15" customHeight="1">
      <c r="B51" s="3"/>
      <c r="C51" s="277" t="s">
        <v>201</v>
      </c>
      <c r="D51" s="132">
        <f>T38</f>
        <v>0</v>
      </c>
      <c r="E51" s="132">
        <f>T39</f>
        <v>0</v>
      </c>
      <c r="F51" s="132">
        <f t="shared" si="2"/>
        <v>0</v>
      </c>
      <c r="G51" s="134">
        <f>T40</f>
        <v>0</v>
      </c>
      <c r="H51" s="134">
        <f t="shared" si="3"/>
        <v>0</v>
      </c>
      <c r="I51" s="323"/>
      <c r="J51" s="134">
        <f t="shared" si="4"/>
        <v>0</v>
      </c>
      <c r="K51" s="325" t="s">
        <v>200</v>
      </c>
      <c r="N51" s="583"/>
      <c r="O51" s="584"/>
      <c r="P51" s="318" t="s">
        <v>185</v>
      </c>
      <c r="Q51" s="296">
        <v>0.3</v>
      </c>
      <c r="R51" s="296">
        <v>0.38</v>
      </c>
      <c r="S51" s="296">
        <v>0.45</v>
      </c>
      <c r="T51" s="296">
        <v>0.61</v>
      </c>
      <c r="U51" s="296">
        <v>0.76</v>
      </c>
      <c r="V51" s="296">
        <v>1.21</v>
      </c>
      <c r="W51" s="569"/>
      <c r="Y51" s="294">
        <v>3</v>
      </c>
      <c r="Z51" s="293">
        <f t="shared" si="7"/>
        <v>3.62</v>
      </c>
      <c r="AA51" s="292">
        <f t="shared" si="8"/>
        <v>60.35</v>
      </c>
      <c r="AB51" s="291">
        <f t="shared" si="9"/>
        <v>1.01</v>
      </c>
      <c r="AC51" s="294">
        <v>23</v>
      </c>
      <c r="AD51" s="293">
        <f t="shared" si="10"/>
        <v>9.32</v>
      </c>
      <c r="AE51" s="292">
        <f t="shared" si="11"/>
        <v>155.28</v>
      </c>
      <c r="AF51" s="291">
        <f t="shared" si="12"/>
        <v>2.59</v>
      </c>
    </row>
    <row r="52" spans="2:33" ht="15" customHeight="1">
      <c r="B52" s="3"/>
      <c r="C52" s="277" t="s">
        <v>199</v>
      </c>
      <c r="D52" s="326">
        <v>100</v>
      </c>
      <c r="E52" s="132">
        <f>Q39</f>
        <v>40</v>
      </c>
      <c r="F52" s="132">
        <f t="shared" si="2"/>
        <v>54</v>
      </c>
      <c r="G52" s="134">
        <f>S35+R35+Q37</f>
        <v>2.8</v>
      </c>
      <c r="H52" s="134">
        <f t="shared" si="3"/>
        <v>0.1512</v>
      </c>
      <c r="I52" s="323">
        <f>R34</f>
        <v>0</v>
      </c>
      <c r="J52" s="134">
        <f t="shared" si="4"/>
        <v>0.15</v>
      </c>
      <c r="K52" s="325" t="s">
        <v>198</v>
      </c>
      <c r="N52" s="583"/>
      <c r="O52" s="584" t="s">
        <v>197</v>
      </c>
      <c r="P52" s="318" t="s">
        <v>196</v>
      </c>
      <c r="Q52" s="296">
        <v>0.36</v>
      </c>
      <c r="R52" s="296">
        <v>0.45</v>
      </c>
      <c r="S52" s="296">
        <v>0.54</v>
      </c>
      <c r="T52" s="296">
        <v>0.9</v>
      </c>
      <c r="U52" s="296">
        <v>1.2</v>
      </c>
      <c r="V52" s="296">
        <v>1.8</v>
      </c>
      <c r="W52" s="569"/>
      <c r="Y52" s="294">
        <v>4</v>
      </c>
      <c r="Z52" s="293">
        <f t="shared" si="7"/>
        <v>3.98</v>
      </c>
      <c r="AA52" s="292">
        <f t="shared" si="8"/>
        <v>66.36</v>
      </c>
      <c r="AB52" s="291">
        <f t="shared" si="9"/>
        <v>1.1100000000000001</v>
      </c>
      <c r="AC52" s="294">
        <v>24</v>
      </c>
      <c r="AD52" s="293">
        <f t="shared" si="10"/>
        <v>9.59</v>
      </c>
      <c r="AE52" s="292">
        <f t="shared" si="11"/>
        <v>159.77000000000001</v>
      </c>
      <c r="AF52" s="291">
        <f t="shared" si="12"/>
        <v>2.66</v>
      </c>
    </row>
    <row r="53" spans="2:33" ht="15" customHeight="1">
      <c r="B53" s="3"/>
      <c r="C53" s="277" t="s">
        <v>195</v>
      </c>
      <c r="D53" s="132">
        <f>D52</f>
        <v>100</v>
      </c>
      <c r="E53" s="132">
        <f>P39</f>
        <v>40</v>
      </c>
      <c r="F53" s="132">
        <f t="shared" si="2"/>
        <v>54</v>
      </c>
      <c r="G53" s="324">
        <f>T59</f>
        <v>3.1</v>
      </c>
      <c r="H53" s="134">
        <f t="shared" si="3"/>
        <v>0.16739999999999999</v>
      </c>
      <c r="I53" s="323"/>
      <c r="J53" s="134">
        <f t="shared" si="4"/>
        <v>0.17</v>
      </c>
      <c r="K53" s="322" t="s">
        <v>190</v>
      </c>
      <c r="N53" s="583"/>
      <c r="O53" s="584"/>
      <c r="P53" s="318" t="s">
        <v>185</v>
      </c>
      <c r="Q53" s="296">
        <v>0.18</v>
      </c>
      <c r="R53" s="296">
        <v>0.23</v>
      </c>
      <c r="S53" s="296">
        <v>0.3</v>
      </c>
      <c r="T53" s="296">
        <v>0.36</v>
      </c>
      <c r="U53" s="296">
        <v>0.45</v>
      </c>
      <c r="V53" s="296">
        <v>0.61</v>
      </c>
      <c r="W53" s="569"/>
      <c r="Y53" s="294">
        <v>5</v>
      </c>
      <c r="Z53" s="293">
        <f t="shared" si="7"/>
        <v>4.29</v>
      </c>
      <c r="AA53" s="292">
        <f t="shared" si="8"/>
        <v>71.430000000000007</v>
      </c>
      <c r="AB53" s="291">
        <f t="shared" si="9"/>
        <v>1.19</v>
      </c>
      <c r="AC53" s="294">
        <v>25</v>
      </c>
      <c r="AD53" s="293">
        <f t="shared" si="10"/>
        <v>9.85</v>
      </c>
      <c r="AE53" s="292">
        <f t="shared" si="11"/>
        <v>164.2</v>
      </c>
      <c r="AF53" s="291">
        <f t="shared" si="12"/>
        <v>2.74</v>
      </c>
    </row>
    <row r="54" spans="2:33" ht="15" customHeight="1">
      <c r="B54" s="3"/>
      <c r="C54" s="277" t="s">
        <v>194</v>
      </c>
      <c r="D54" s="132">
        <f>D53</f>
        <v>100</v>
      </c>
      <c r="E54" s="132">
        <f>E53</f>
        <v>40</v>
      </c>
      <c r="F54" s="132">
        <f t="shared" si="2"/>
        <v>54</v>
      </c>
      <c r="G54" s="324">
        <f>T60</f>
        <v>15</v>
      </c>
      <c r="H54" s="134">
        <f t="shared" si="3"/>
        <v>0.80999999999999994</v>
      </c>
      <c r="I54" s="323"/>
      <c r="J54" s="134">
        <f t="shared" si="4"/>
        <v>0.81</v>
      </c>
      <c r="K54" s="322" t="s">
        <v>190</v>
      </c>
      <c r="N54" s="583" t="s">
        <v>193</v>
      </c>
      <c r="O54" s="584" t="s">
        <v>192</v>
      </c>
      <c r="P54" s="318" t="s">
        <v>187</v>
      </c>
      <c r="Q54" s="296">
        <v>0.9</v>
      </c>
      <c r="R54" s="296">
        <v>1.2</v>
      </c>
      <c r="S54" s="296">
        <v>1.5</v>
      </c>
      <c r="T54" s="296">
        <v>2.1</v>
      </c>
      <c r="U54" s="296">
        <v>3</v>
      </c>
      <c r="V54" s="296">
        <v>4.5</v>
      </c>
      <c r="W54" s="569"/>
      <c r="Y54" s="294">
        <v>6</v>
      </c>
      <c r="Z54" s="293">
        <f t="shared" si="7"/>
        <v>4.55</v>
      </c>
      <c r="AA54" s="292">
        <f t="shared" si="8"/>
        <v>75.86</v>
      </c>
      <c r="AB54" s="291">
        <f t="shared" si="9"/>
        <v>1.26</v>
      </c>
      <c r="AC54" s="294">
        <v>26</v>
      </c>
      <c r="AD54" s="293">
        <f t="shared" si="10"/>
        <v>10.11</v>
      </c>
      <c r="AE54" s="292">
        <f t="shared" si="11"/>
        <v>168.57</v>
      </c>
      <c r="AF54" s="291">
        <f t="shared" si="12"/>
        <v>2.81</v>
      </c>
    </row>
    <row r="55" spans="2:33" ht="15" customHeight="1">
      <c r="B55" s="3"/>
      <c r="C55" s="277" t="s">
        <v>191</v>
      </c>
      <c r="D55" s="132">
        <f>D54</f>
        <v>100</v>
      </c>
      <c r="E55" s="132">
        <f>O40</f>
        <v>40</v>
      </c>
      <c r="F55" s="132">
        <f t="shared" si="2"/>
        <v>54</v>
      </c>
      <c r="G55" s="324">
        <f>T58</f>
        <v>0.3</v>
      </c>
      <c r="H55" s="134">
        <f t="shared" si="3"/>
        <v>1.6199999999999999E-2</v>
      </c>
      <c r="I55" s="323"/>
      <c r="J55" s="134">
        <f t="shared" si="4"/>
        <v>0.02</v>
      </c>
      <c r="K55" s="322" t="s">
        <v>190</v>
      </c>
      <c r="N55" s="583"/>
      <c r="O55" s="584"/>
      <c r="P55" s="318" t="s">
        <v>185</v>
      </c>
      <c r="Q55" s="296"/>
      <c r="R55" s="296">
        <v>0.45</v>
      </c>
      <c r="S55" s="296">
        <v>0.61</v>
      </c>
      <c r="T55" s="296">
        <v>0.76</v>
      </c>
      <c r="U55" s="296">
        <v>0.9</v>
      </c>
      <c r="V55" s="296">
        <v>1.06</v>
      </c>
      <c r="W55" s="569"/>
      <c r="Y55" s="294">
        <v>7</v>
      </c>
      <c r="Z55" s="293">
        <f t="shared" si="7"/>
        <v>4.79</v>
      </c>
      <c r="AA55" s="292">
        <f t="shared" si="8"/>
        <v>79.819999999999993</v>
      </c>
      <c r="AB55" s="291">
        <f t="shared" si="9"/>
        <v>1.33</v>
      </c>
      <c r="AC55" s="294">
        <v>27</v>
      </c>
      <c r="AD55" s="293">
        <f t="shared" si="10"/>
        <v>10.37</v>
      </c>
      <c r="AE55" s="292">
        <f t="shared" si="11"/>
        <v>172.89</v>
      </c>
      <c r="AF55" s="291">
        <f t="shared" si="12"/>
        <v>2.88</v>
      </c>
    </row>
    <row r="56" spans="2:33" ht="15" customHeight="1">
      <c r="B56" s="3"/>
      <c r="C56" s="277" t="s">
        <v>189</v>
      </c>
      <c r="D56" s="132">
        <f>D55</f>
        <v>100</v>
      </c>
      <c r="E56" s="132">
        <f>E55</f>
        <v>40</v>
      </c>
      <c r="F56" s="132">
        <f t="shared" si="2"/>
        <v>54</v>
      </c>
      <c r="G56" s="142">
        <f>N38+O38+O37</f>
        <v>4.5999999999999996</v>
      </c>
      <c r="H56" s="134">
        <f t="shared" si="3"/>
        <v>0.24839999999999998</v>
      </c>
      <c r="I56" s="134">
        <f>O38</f>
        <v>1.1000000000000001</v>
      </c>
      <c r="J56" s="134">
        <f t="shared" si="4"/>
        <v>1.35</v>
      </c>
      <c r="K56" s="134"/>
      <c r="N56" s="583"/>
      <c r="O56" s="584" t="s">
        <v>188</v>
      </c>
      <c r="P56" s="318" t="s">
        <v>187</v>
      </c>
      <c r="Q56" s="296">
        <v>0.18</v>
      </c>
      <c r="R56" s="296">
        <v>0.24</v>
      </c>
      <c r="S56" s="296">
        <v>0.27</v>
      </c>
      <c r="T56" s="296">
        <v>0.45</v>
      </c>
      <c r="U56" s="296">
        <v>0.6</v>
      </c>
      <c r="V56" s="296">
        <v>0.9</v>
      </c>
      <c r="W56" s="569"/>
      <c r="Y56" s="294">
        <v>8</v>
      </c>
      <c r="Z56" s="293">
        <f t="shared" si="7"/>
        <v>5.01</v>
      </c>
      <c r="AA56" s="292">
        <f t="shared" si="8"/>
        <v>83.42</v>
      </c>
      <c r="AB56" s="291">
        <f t="shared" si="9"/>
        <v>1.39</v>
      </c>
      <c r="AC56" s="294">
        <v>28</v>
      </c>
      <c r="AD56" s="293">
        <f t="shared" si="10"/>
        <v>10.63</v>
      </c>
      <c r="AE56" s="292">
        <f t="shared" si="11"/>
        <v>177.15</v>
      </c>
      <c r="AF56" s="291">
        <f t="shared" si="12"/>
        <v>2.95</v>
      </c>
    </row>
    <row r="57" spans="2:33" ht="15" customHeight="1" thickBot="1">
      <c r="B57" s="3"/>
      <c r="C57" s="321" t="s">
        <v>186</v>
      </c>
      <c r="D57" s="137">
        <f>D56</f>
        <v>100</v>
      </c>
      <c r="E57" s="137">
        <f>E56</f>
        <v>40</v>
      </c>
      <c r="F57" s="137">
        <f t="shared" si="2"/>
        <v>54</v>
      </c>
      <c r="G57" s="320">
        <f>T63</f>
        <v>1</v>
      </c>
      <c r="H57" s="138">
        <f t="shared" si="3"/>
        <v>5.3999999999999999E-2</v>
      </c>
      <c r="I57" s="319"/>
      <c r="J57" s="138">
        <f t="shared" si="4"/>
        <v>0.05</v>
      </c>
      <c r="K57" s="138">
        <f>SUM(J38:J57)</f>
        <v>3.21</v>
      </c>
      <c r="N57" s="583"/>
      <c r="O57" s="584"/>
      <c r="P57" s="318" t="s">
        <v>185</v>
      </c>
      <c r="Q57" s="296"/>
      <c r="R57" s="296">
        <v>0.09</v>
      </c>
      <c r="S57" s="296">
        <v>0.12</v>
      </c>
      <c r="T57" s="296">
        <v>0.14000000000000001</v>
      </c>
      <c r="U57" s="296">
        <v>0.18</v>
      </c>
      <c r="V57" s="296">
        <v>0.24</v>
      </c>
      <c r="W57" s="569"/>
      <c r="Y57" s="294">
        <v>9</v>
      </c>
      <c r="Z57" s="293">
        <f t="shared" si="7"/>
        <v>5.2</v>
      </c>
      <c r="AA57" s="292">
        <f t="shared" si="8"/>
        <v>86.73</v>
      </c>
      <c r="AB57" s="291">
        <f t="shared" si="9"/>
        <v>1.45</v>
      </c>
      <c r="AC57" s="294">
        <v>29</v>
      </c>
      <c r="AD57" s="293">
        <f t="shared" si="10"/>
        <v>10.88</v>
      </c>
      <c r="AE57" s="292">
        <f t="shared" si="11"/>
        <v>181.37</v>
      </c>
      <c r="AF57" s="291">
        <f t="shared" si="12"/>
        <v>3.02</v>
      </c>
    </row>
    <row r="58" spans="2:33" ht="15" customHeight="1" thickTop="1">
      <c r="B58" s="3"/>
      <c r="C58" s="317"/>
      <c r="D58" s="316"/>
      <c r="E58" s="316"/>
      <c r="F58" s="315"/>
      <c r="G58" s="315"/>
      <c r="H58" s="315"/>
      <c r="I58" s="315"/>
      <c r="J58" s="314" t="s">
        <v>184</v>
      </c>
      <c r="K58" s="146">
        <f>K37+K57</f>
        <v>18.2</v>
      </c>
      <c r="N58" s="298" t="s">
        <v>183</v>
      </c>
      <c r="O58" s="298"/>
      <c r="P58" s="298"/>
      <c r="Q58" s="297">
        <v>0.12</v>
      </c>
      <c r="R58" s="297">
        <v>0.15</v>
      </c>
      <c r="S58" s="297">
        <v>0.18</v>
      </c>
      <c r="T58" s="297">
        <v>0.3</v>
      </c>
      <c r="U58" s="296">
        <v>0.39</v>
      </c>
      <c r="V58" s="296">
        <v>0.63</v>
      </c>
      <c r="W58" s="570"/>
      <c r="Y58" s="294">
        <v>10</v>
      </c>
      <c r="Z58" s="293">
        <f t="shared" ref="Z58:Z68" si="13">ROUND((19*Y58^0.67)/1000*60,2)</f>
        <v>5.33</v>
      </c>
      <c r="AA58" s="292">
        <f t="shared" ref="AA58:AA68" si="14">ROUND((19*Y58^0.67),2)</f>
        <v>88.87</v>
      </c>
      <c r="AB58" s="291">
        <f t="shared" ref="AB58:AB68" si="15">ROUND((19*Y58^0.67)/60,2)</f>
        <v>1.48</v>
      </c>
      <c r="AC58" s="294">
        <v>30</v>
      </c>
      <c r="AD58" s="293">
        <f t="shared" si="10"/>
        <v>11.13</v>
      </c>
      <c r="AE58" s="292">
        <f t="shared" si="11"/>
        <v>185.53</v>
      </c>
      <c r="AF58" s="291">
        <f t="shared" si="12"/>
        <v>3.09</v>
      </c>
    </row>
    <row r="59" spans="2:33" ht="15" customHeight="1">
      <c r="B59" s="3"/>
      <c r="C59" s="308" t="s">
        <v>182</v>
      </c>
      <c r="D59" s="313" t="s">
        <v>181</v>
      </c>
      <c r="E59" s="306"/>
      <c r="F59" s="305"/>
      <c r="G59" s="312"/>
      <c r="H59" s="311">
        <f>K58</f>
        <v>18.2</v>
      </c>
      <c r="I59" s="310" t="s">
        <v>180</v>
      </c>
      <c r="J59" s="309" t="s">
        <v>179</v>
      </c>
      <c r="K59" s="134">
        <f>H59*0.1</f>
        <v>1.82</v>
      </c>
      <c r="N59" s="298" t="s">
        <v>178</v>
      </c>
      <c r="O59" s="298"/>
      <c r="P59" s="298"/>
      <c r="Q59" s="297">
        <v>1.2</v>
      </c>
      <c r="R59" s="297">
        <v>1.6</v>
      </c>
      <c r="S59" s="297">
        <v>2</v>
      </c>
      <c r="T59" s="297">
        <v>3.1</v>
      </c>
      <c r="U59" s="296">
        <v>4</v>
      </c>
      <c r="V59" s="296">
        <v>5.7</v>
      </c>
      <c r="W59" s="548" t="s">
        <v>177</v>
      </c>
      <c r="Y59" s="294">
        <v>11</v>
      </c>
      <c r="Z59" s="293">
        <f t="shared" si="13"/>
        <v>5.68</v>
      </c>
      <c r="AA59" s="292">
        <f t="shared" si="14"/>
        <v>94.73</v>
      </c>
      <c r="AB59" s="291">
        <f t="shared" si="15"/>
        <v>1.58</v>
      </c>
      <c r="AC59" s="294">
        <v>31</v>
      </c>
      <c r="AD59" s="293">
        <f t="shared" si="10"/>
        <v>11.38</v>
      </c>
      <c r="AE59" s="292">
        <f t="shared" si="11"/>
        <v>189.66</v>
      </c>
      <c r="AF59" s="291">
        <f t="shared" si="12"/>
        <v>3.16</v>
      </c>
    </row>
    <row r="60" spans="2:33" ht="15" customHeight="1">
      <c r="B60" s="3"/>
      <c r="C60" s="308" t="s">
        <v>176</v>
      </c>
      <c r="D60" s="307"/>
      <c r="E60" s="306"/>
      <c r="F60" s="305"/>
      <c r="G60" s="305"/>
      <c r="H60" s="305"/>
      <c r="I60" s="305"/>
      <c r="J60" s="305"/>
      <c r="K60" s="134">
        <f>K18</f>
        <v>5</v>
      </c>
      <c r="N60" s="298" t="s">
        <v>175</v>
      </c>
      <c r="O60" s="298"/>
      <c r="P60" s="298"/>
      <c r="Q60" s="297">
        <v>3</v>
      </c>
      <c r="R60" s="297">
        <v>8</v>
      </c>
      <c r="S60" s="297">
        <v>12</v>
      </c>
      <c r="T60" s="297">
        <v>15</v>
      </c>
      <c r="U60" s="296">
        <v>20</v>
      </c>
      <c r="V60" s="296">
        <v>40</v>
      </c>
      <c r="W60" s="558"/>
      <c r="Y60" s="294">
        <v>12</v>
      </c>
      <c r="Z60" s="293">
        <f t="shared" si="13"/>
        <v>6.02</v>
      </c>
      <c r="AA60" s="292">
        <f t="shared" si="14"/>
        <v>100.42</v>
      </c>
      <c r="AB60" s="291">
        <f t="shared" si="15"/>
        <v>1.67</v>
      </c>
      <c r="AC60" s="294">
        <v>32</v>
      </c>
      <c r="AD60" s="293">
        <f t="shared" si="10"/>
        <v>11.62</v>
      </c>
      <c r="AE60" s="292">
        <f t="shared" si="11"/>
        <v>193.73</v>
      </c>
      <c r="AF60" s="291">
        <f t="shared" si="12"/>
        <v>3.23</v>
      </c>
    </row>
    <row r="61" spans="2:33" ht="15" customHeight="1">
      <c r="B61" s="3"/>
      <c r="C61" s="70"/>
      <c r="D61" s="304"/>
      <c r="E61" s="304"/>
      <c r="F61" s="303"/>
      <c r="G61" s="303"/>
      <c r="H61" s="303"/>
      <c r="I61" s="302" t="s">
        <v>174</v>
      </c>
      <c r="J61" s="301" t="s">
        <v>173</v>
      </c>
      <c r="K61" s="134">
        <f>K58+K59+K60</f>
        <v>25.02</v>
      </c>
      <c r="N61" s="298" t="s">
        <v>172</v>
      </c>
      <c r="O61" s="298"/>
      <c r="P61" s="298"/>
      <c r="Q61" s="297">
        <v>5.7</v>
      </c>
      <c r="R61" s="297">
        <v>12.4</v>
      </c>
      <c r="S61" s="297">
        <v>10.199999999999999</v>
      </c>
      <c r="T61" s="297"/>
      <c r="U61" s="296"/>
      <c r="V61" s="296"/>
      <c r="W61" s="558"/>
      <c r="Y61" s="294">
        <v>13</v>
      </c>
      <c r="Z61" s="293">
        <f t="shared" si="13"/>
        <v>6.36</v>
      </c>
      <c r="AA61" s="292">
        <f t="shared" si="14"/>
        <v>105.95</v>
      </c>
      <c r="AB61" s="291">
        <f t="shared" si="15"/>
        <v>1.77</v>
      </c>
      <c r="AC61" s="294">
        <v>33</v>
      </c>
      <c r="AD61" s="293">
        <f t="shared" si="10"/>
        <v>11.87</v>
      </c>
      <c r="AE61" s="292">
        <f t="shared" si="11"/>
        <v>197.77</v>
      </c>
      <c r="AF61" s="291">
        <f t="shared" si="12"/>
        <v>3.3</v>
      </c>
    </row>
    <row r="62" spans="2:33" ht="15" customHeight="1">
      <c r="B62" s="3"/>
      <c r="C62" s="70"/>
      <c r="F62" s="5"/>
      <c r="G62" s="5"/>
      <c r="H62" s="5"/>
      <c r="I62" s="283"/>
      <c r="N62" s="298" t="s">
        <v>171</v>
      </c>
      <c r="O62" s="298"/>
      <c r="P62" s="298"/>
      <c r="Q62" s="297">
        <v>1.5</v>
      </c>
      <c r="R62" s="297">
        <v>2</v>
      </c>
      <c r="S62" s="297">
        <v>3</v>
      </c>
      <c r="T62" s="297"/>
      <c r="U62" s="296"/>
      <c r="V62" s="296"/>
      <c r="W62" s="558"/>
      <c r="Y62" s="294">
        <v>14</v>
      </c>
      <c r="Z62" s="293">
        <f t="shared" si="13"/>
        <v>6.68</v>
      </c>
      <c r="AA62" s="292">
        <f t="shared" si="14"/>
        <v>111.34</v>
      </c>
      <c r="AB62" s="291">
        <f t="shared" si="15"/>
        <v>1.86</v>
      </c>
      <c r="AC62" s="294">
        <v>34</v>
      </c>
      <c r="AD62" s="293">
        <f t="shared" si="10"/>
        <v>12.11</v>
      </c>
      <c r="AE62" s="292">
        <f t="shared" si="11"/>
        <v>201.76</v>
      </c>
      <c r="AF62" s="291">
        <f t="shared" si="12"/>
        <v>3.36</v>
      </c>
    </row>
    <row r="63" spans="2:33" ht="15" customHeight="1">
      <c r="B63" s="3"/>
      <c r="C63" s="70"/>
      <c r="F63" s="5"/>
      <c r="G63" s="5"/>
      <c r="H63" s="300"/>
      <c r="I63" s="283"/>
      <c r="J63" s="299" t="s">
        <v>170</v>
      </c>
      <c r="K63" s="207" t="str">
        <f>IF(K61&gt;G12,IF(K61&lt;(G12+1),"ＯＫ","ＮＧ"),"ＯＫ")</f>
        <v>ＯＫ</v>
      </c>
      <c r="L63" s="15"/>
      <c r="N63" s="298" t="s">
        <v>169</v>
      </c>
      <c r="O63" s="298"/>
      <c r="P63" s="298"/>
      <c r="Q63" s="297">
        <v>0.5</v>
      </c>
      <c r="R63" s="297">
        <v>0.5</v>
      </c>
      <c r="S63" s="297">
        <v>1</v>
      </c>
      <c r="T63" s="297">
        <v>1</v>
      </c>
      <c r="U63" s="296">
        <v>1</v>
      </c>
      <c r="V63" s="296">
        <v>1</v>
      </c>
      <c r="W63" s="549"/>
      <c r="Y63" s="294">
        <v>15</v>
      </c>
      <c r="Z63" s="293">
        <f t="shared" si="13"/>
        <v>7</v>
      </c>
      <c r="AA63" s="292">
        <f t="shared" si="14"/>
        <v>116.61</v>
      </c>
      <c r="AB63" s="291">
        <f t="shared" si="15"/>
        <v>1.94</v>
      </c>
      <c r="AC63" s="294">
        <v>35</v>
      </c>
      <c r="AD63" s="293">
        <f t="shared" si="10"/>
        <v>12.34</v>
      </c>
      <c r="AE63" s="292">
        <f t="shared" si="11"/>
        <v>205.72</v>
      </c>
      <c r="AF63" s="291">
        <f t="shared" si="12"/>
        <v>3.43</v>
      </c>
    </row>
    <row r="64" spans="2:33" ht="15" customHeight="1">
      <c r="B64" s="3"/>
      <c r="C64" s="70"/>
      <c r="F64" s="5"/>
      <c r="G64" s="5"/>
      <c r="H64" s="5"/>
      <c r="I64" s="283"/>
      <c r="L64" s="15"/>
      <c r="N64" s="285"/>
      <c r="O64" s="285"/>
      <c r="P64" s="285"/>
      <c r="Q64" s="284"/>
      <c r="R64" s="284"/>
      <c r="S64" s="284"/>
      <c r="T64" s="283">
        <f>ROUND(R64+S64,2)</f>
        <v>0</v>
      </c>
      <c r="U64" s="282"/>
      <c r="X64" s="281"/>
      <c r="Y64" s="294">
        <v>16</v>
      </c>
      <c r="Z64" s="293">
        <f t="shared" si="13"/>
        <v>7.31</v>
      </c>
      <c r="AA64" s="292">
        <f t="shared" si="14"/>
        <v>121.76</v>
      </c>
      <c r="AB64" s="291">
        <f t="shared" si="15"/>
        <v>2.0299999999999998</v>
      </c>
      <c r="AC64" s="294">
        <v>36</v>
      </c>
      <c r="AD64" s="293">
        <f t="shared" si="10"/>
        <v>12.58</v>
      </c>
      <c r="AE64" s="292">
        <f t="shared" si="11"/>
        <v>209.64</v>
      </c>
      <c r="AF64" s="291">
        <f t="shared" si="12"/>
        <v>3.49</v>
      </c>
      <c r="AG64" s="281"/>
    </row>
    <row r="65" spans="2:32" ht="15" customHeight="1">
      <c r="B65" s="3"/>
      <c r="C65" s="70"/>
      <c r="F65" s="5"/>
      <c r="G65" s="5"/>
      <c r="H65" s="5"/>
      <c r="I65" s="283"/>
      <c r="L65" s="15"/>
      <c r="N65" s="285"/>
      <c r="O65" s="285"/>
      <c r="P65" s="285"/>
      <c r="Q65" s="284"/>
      <c r="R65" s="284"/>
      <c r="S65" s="284"/>
      <c r="T65" s="283"/>
      <c r="U65" s="282"/>
      <c r="Y65" s="294">
        <v>17</v>
      </c>
      <c r="Z65" s="293">
        <f t="shared" si="13"/>
        <v>7.61</v>
      </c>
      <c r="AA65" s="292">
        <f t="shared" si="14"/>
        <v>126.81</v>
      </c>
      <c r="AB65" s="291">
        <f t="shared" si="15"/>
        <v>2.11</v>
      </c>
      <c r="AC65" s="294">
        <v>37</v>
      </c>
      <c r="AD65" s="293">
        <f t="shared" si="10"/>
        <v>12.81</v>
      </c>
      <c r="AE65" s="292">
        <f t="shared" si="11"/>
        <v>213.53</v>
      </c>
      <c r="AF65" s="291">
        <f t="shared" si="12"/>
        <v>3.56</v>
      </c>
    </row>
    <row r="66" spans="2:32" ht="15" customHeight="1">
      <c r="B66" s="3"/>
      <c r="C66" s="70"/>
      <c r="F66" s="5"/>
      <c r="G66" s="5"/>
      <c r="H66" s="5"/>
      <c r="I66" s="283"/>
      <c r="N66" s="285"/>
      <c r="O66" s="285"/>
      <c r="P66" s="285"/>
      <c r="Q66" s="284"/>
      <c r="R66" s="284"/>
      <c r="S66" s="284"/>
      <c r="T66" s="283"/>
      <c r="U66" s="282"/>
      <c r="Y66" s="294">
        <v>18</v>
      </c>
      <c r="Z66" s="293">
        <f t="shared" si="13"/>
        <v>7.91</v>
      </c>
      <c r="AA66" s="292">
        <f t="shared" si="14"/>
        <v>131.76</v>
      </c>
      <c r="AB66" s="291">
        <f t="shared" si="15"/>
        <v>2.2000000000000002</v>
      </c>
      <c r="AC66" s="294">
        <v>38</v>
      </c>
      <c r="AD66" s="293">
        <f t="shared" si="10"/>
        <v>13.04</v>
      </c>
      <c r="AE66" s="292">
        <f t="shared" si="11"/>
        <v>217.37</v>
      </c>
      <c r="AF66" s="291">
        <f t="shared" si="12"/>
        <v>3.62</v>
      </c>
    </row>
    <row r="67" spans="2:32" ht="15" customHeight="1">
      <c r="B67" s="3"/>
      <c r="C67" s="18"/>
      <c r="D67" s="18"/>
      <c r="E67" s="18"/>
      <c r="F67" s="18"/>
      <c r="G67" s="18"/>
      <c r="N67" s="285"/>
      <c r="O67" s="285"/>
      <c r="P67" s="285"/>
      <c r="Q67" s="284"/>
      <c r="R67" s="284"/>
      <c r="S67" s="284"/>
      <c r="T67" s="283"/>
      <c r="U67" s="282"/>
      <c r="X67" s="295"/>
      <c r="Y67" s="294">
        <v>19</v>
      </c>
      <c r="Z67" s="293">
        <f t="shared" si="13"/>
        <v>8.1999999999999993</v>
      </c>
      <c r="AA67" s="292">
        <f t="shared" si="14"/>
        <v>136.62</v>
      </c>
      <c r="AB67" s="291">
        <f t="shared" si="15"/>
        <v>2.2799999999999998</v>
      </c>
      <c r="AC67" s="294">
        <v>39</v>
      </c>
      <c r="AD67" s="293">
        <f t="shared" si="10"/>
        <v>13.27</v>
      </c>
      <c r="AE67" s="292">
        <f t="shared" si="11"/>
        <v>221.19</v>
      </c>
      <c r="AF67" s="291">
        <f t="shared" si="12"/>
        <v>3.69</v>
      </c>
    </row>
    <row r="68" spans="2:32" ht="15" customHeight="1" thickBot="1">
      <c r="C68" s="65"/>
      <c r="D68" s="283"/>
      <c r="E68" s="290"/>
      <c r="F68" s="283"/>
      <c r="G68" s="290"/>
      <c r="N68" s="285"/>
      <c r="O68" s="285"/>
      <c r="P68" s="285"/>
      <c r="Q68" s="284"/>
      <c r="R68" s="284"/>
      <c r="S68" s="284"/>
      <c r="T68" s="283"/>
      <c r="U68" s="282"/>
      <c r="Y68" s="289">
        <v>20</v>
      </c>
      <c r="Z68" s="288">
        <f t="shared" si="13"/>
        <v>8.48</v>
      </c>
      <c r="AA68" s="287">
        <f t="shared" si="14"/>
        <v>141.4</v>
      </c>
      <c r="AB68" s="286">
        <f t="shared" si="15"/>
        <v>2.36</v>
      </c>
      <c r="AC68" s="289">
        <v>40</v>
      </c>
      <c r="AD68" s="288">
        <f t="shared" si="10"/>
        <v>13.5</v>
      </c>
      <c r="AE68" s="287">
        <f t="shared" si="11"/>
        <v>224.97</v>
      </c>
      <c r="AF68" s="286">
        <f t="shared" si="12"/>
        <v>3.75</v>
      </c>
    </row>
    <row r="69" spans="2:32" ht="15" customHeight="1" thickTop="1">
      <c r="C69" s="18"/>
      <c r="D69" s="18"/>
      <c r="E69" s="18"/>
      <c r="F69" s="18"/>
      <c r="G69" s="18"/>
      <c r="N69" s="285"/>
      <c r="O69" s="285"/>
      <c r="P69" s="285"/>
      <c r="Q69" s="284"/>
      <c r="R69" s="284"/>
      <c r="S69" s="284"/>
      <c r="T69" s="283"/>
      <c r="U69" s="282"/>
    </row>
    <row r="70" spans="2:32" ht="15" customHeight="1">
      <c r="N70" s="285"/>
      <c r="O70" s="285"/>
      <c r="P70" s="285"/>
      <c r="Q70" s="284"/>
      <c r="R70" s="284"/>
      <c r="S70" s="284"/>
      <c r="T70" s="283"/>
      <c r="U70" s="282"/>
    </row>
    <row r="71" spans="2:32" ht="15" customHeight="1">
      <c r="N71" s="285"/>
      <c r="O71" s="285"/>
      <c r="P71" s="285"/>
      <c r="Q71" s="284"/>
      <c r="R71" s="284"/>
      <c r="S71" s="284"/>
      <c r="T71" s="283"/>
      <c r="U71" s="282"/>
    </row>
    <row r="72" spans="2:32" ht="15" customHeight="1">
      <c r="N72" s="285"/>
      <c r="O72" s="285"/>
      <c r="P72" s="285"/>
      <c r="Q72" s="284"/>
      <c r="R72" s="284"/>
      <c r="S72" s="284"/>
      <c r="T72" s="283"/>
      <c r="U72" s="282"/>
    </row>
    <row r="73" spans="2:32">
      <c r="N73" s="281"/>
      <c r="O73" s="281"/>
      <c r="P73" s="281"/>
      <c r="Q73" s="281"/>
      <c r="R73" s="281"/>
      <c r="S73" s="281"/>
      <c r="T73" s="281"/>
      <c r="U73" s="281"/>
      <c r="V73" s="281"/>
      <c r="W73" s="281"/>
    </row>
  </sheetData>
  <mergeCells count="73">
    <mergeCell ref="W59:W63"/>
    <mergeCell ref="O49:P49"/>
    <mergeCell ref="O38:O39"/>
    <mergeCell ref="R35:R36"/>
    <mergeCell ref="P37:P38"/>
    <mergeCell ref="Q37:R37"/>
    <mergeCell ref="Q38:R38"/>
    <mergeCell ref="N48:P48"/>
    <mergeCell ref="N54:N57"/>
    <mergeCell ref="O50:O51"/>
    <mergeCell ref="O52:O53"/>
    <mergeCell ref="O54:O55"/>
    <mergeCell ref="O56:O57"/>
    <mergeCell ref="N50:N53"/>
    <mergeCell ref="T45:T47"/>
    <mergeCell ref="C26:C27"/>
    <mergeCell ref="D16:D17"/>
    <mergeCell ref="T30:U30"/>
    <mergeCell ref="O17:P17"/>
    <mergeCell ref="W50:W58"/>
    <mergeCell ref="O11:R11"/>
    <mergeCell ref="D12:F12"/>
    <mergeCell ref="D13:F13"/>
    <mergeCell ref="N26:O26"/>
    <mergeCell ref="N27:O27"/>
    <mergeCell ref="E16:F17"/>
    <mergeCell ref="E21:F21"/>
    <mergeCell ref="E22:F22"/>
    <mergeCell ref="E18:F18"/>
    <mergeCell ref="E19:F19"/>
    <mergeCell ref="E20:F20"/>
    <mergeCell ref="R20:S20"/>
    <mergeCell ref="P20:Q20"/>
    <mergeCell ref="I21:J21"/>
    <mergeCell ref="I22:J22"/>
    <mergeCell ref="L18:L20"/>
    <mergeCell ref="U45:U47"/>
    <mergeCell ref="V45:V47"/>
    <mergeCell ref="B1:AF1"/>
    <mergeCell ref="Q39:R39"/>
    <mergeCell ref="P45:P46"/>
    <mergeCell ref="Q45:Q47"/>
    <mergeCell ref="R45:R47"/>
    <mergeCell ref="S45:S47"/>
    <mergeCell ref="N46:N47"/>
    <mergeCell ref="Z30:AA30"/>
    <mergeCell ref="AB30:AC30"/>
    <mergeCell ref="T20:U20"/>
    <mergeCell ref="W45:W47"/>
    <mergeCell ref="Q17:R17"/>
    <mergeCell ref="S17:T17"/>
    <mergeCell ref="T19:U19"/>
    <mergeCell ref="W48:W49"/>
    <mergeCell ref="AE15:AE16"/>
    <mergeCell ref="Y33:Z33"/>
    <mergeCell ref="AA33:AB33"/>
    <mergeCell ref="Y46:Y47"/>
    <mergeCell ref="AD15:AD16"/>
    <mergeCell ref="AC46:AC47"/>
    <mergeCell ref="X19:X21"/>
    <mergeCell ref="V30:W30"/>
    <mergeCell ref="W32:X32"/>
    <mergeCell ref="S33:T33"/>
    <mergeCell ref="U33:V33"/>
    <mergeCell ref="W33:X33"/>
    <mergeCell ref="X30:Y30"/>
    <mergeCell ref="I16:J17"/>
    <mergeCell ref="K16:K17"/>
    <mergeCell ref="L16:L17"/>
    <mergeCell ref="I18:J18"/>
    <mergeCell ref="I19:J19"/>
    <mergeCell ref="I20:J20"/>
    <mergeCell ref="V22:V23"/>
  </mergeCells>
  <phoneticPr fontId="2"/>
  <printOptions horizontalCentered="1" verticalCentered="1"/>
  <pageMargins left="0.59055118110236227" right="0.19685039370078741" top="0.19685039370078741" bottom="0.19685039370078741" header="0" footer="0"/>
  <pageSetup paperSize="8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2F直圧モデル</vt:lpstr>
      <vt:lpstr>3F直圧モデル</vt:lpstr>
      <vt:lpstr>2Fアパート直圧モデル</vt:lpstr>
      <vt:lpstr>'2Fアパート直圧モデル'!Print_Area</vt:lpstr>
      <vt:lpstr>'2F直圧モデル'!Print_Area</vt:lpstr>
      <vt:lpstr>'3F直圧モデル'!Print_Area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2017-11-10T12:33:03Z</dcterms:modified>
</cp:coreProperties>
</file>